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410" yWindow="-150" windowWidth="14895" windowHeight="11670" tabRatio="844"/>
  </bookViews>
  <sheets>
    <sheet name=" Прогноз 2020-2022" sheetId="28" r:id="rId1"/>
    <sheet name="Лист3" sheetId="31" r:id="rId2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Area" localSheetId="0">' Прогноз 2020-2022'!$A$1:$N$223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24519"/>
</workbook>
</file>

<file path=xl/calcChain.xml><?xml version="1.0" encoding="utf-8"?>
<calcChain xmlns="http://schemas.openxmlformats.org/spreadsheetml/2006/main">
  <c r="F11" i="31"/>
  <c r="L83" i="28"/>
  <c r="M83" s="1"/>
  <c r="N83" s="1"/>
  <c r="K83"/>
  <c r="M10" l="1"/>
  <c r="J36"/>
  <c r="I36"/>
  <c r="L95"/>
  <c r="K59"/>
  <c r="L59"/>
  <c r="M59"/>
  <c r="N59"/>
  <c r="L42"/>
  <c r="M42" s="1"/>
  <c r="N42" s="1"/>
  <c r="L20"/>
  <c r="K7"/>
  <c r="L7" s="1"/>
  <c r="M7" s="1"/>
  <c r="N7" s="1"/>
  <c r="M11" l="1"/>
  <c r="N10"/>
  <c r="N20"/>
  <c r="J20" l="1"/>
  <c r="K20"/>
  <c r="M20"/>
  <c r="I20"/>
  <c r="K131" l="1"/>
  <c r="L131"/>
  <c r="M131"/>
  <c r="N131"/>
  <c r="K124"/>
  <c r="L124"/>
  <c r="M124"/>
  <c r="N124"/>
  <c r="K119"/>
  <c r="L119"/>
  <c r="M119"/>
  <c r="N119"/>
  <c r="K103"/>
  <c r="K102" l="1"/>
  <c r="L103"/>
  <c r="L102" s="1"/>
  <c r="M103"/>
  <c r="M102" s="1"/>
  <c r="N103"/>
  <c r="N102" s="1"/>
  <c r="L215"/>
  <c r="M215" s="1"/>
  <c r="J216"/>
  <c r="K216"/>
  <c r="I216"/>
  <c r="L211"/>
  <c r="L204"/>
  <c r="M204" s="1"/>
  <c r="N170"/>
  <c r="L158"/>
  <c r="K156"/>
  <c r="J95"/>
  <c r="K95"/>
  <c r="M95"/>
  <c r="N95"/>
  <c r="I95"/>
  <c r="J43"/>
  <c r="K43"/>
  <c r="L43"/>
  <c r="M43"/>
  <c r="N43"/>
  <c r="I43"/>
  <c r="J39"/>
  <c r="K39"/>
  <c r="L39"/>
  <c r="M39"/>
  <c r="N39"/>
  <c r="I39"/>
  <c r="K24"/>
  <c r="L24"/>
  <c r="M24"/>
  <c r="N24"/>
  <c r="L8"/>
  <c r="I236"/>
  <c r="L236" s="1"/>
  <c r="J214"/>
  <c r="I214"/>
  <c r="H214"/>
  <c r="G214"/>
  <c r="K212"/>
  <c r="J212"/>
  <c r="I212"/>
  <c r="H212"/>
  <c r="I211"/>
  <c r="J211" s="1"/>
  <c r="G210"/>
  <c r="K208"/>
  <c r="J208"/>
  <c r="I208"/>
  <c r="H208"/>
  <c r="I203"/>
  <c r="H203"/>
  <c r="G203"/>
  <c r="G201"/>
  <c r="N199"/>
  <c r="M199"/>
  <c r="L199"/>
  <c r="K199"/>
  <c r="J199"/>
  <c r="I199"/>
  <c r="H199"/>
  <c r="L196"/>
  <c r="M196" s="1"/>
  <c r="N196" s="1"/>
  <c r="M195"/>
  <c r="N195" s="1"/>
  <c r="G187"/>
  <c r="N181"/>
  <c r="M181"/>
  <c r="L181"/>
  <c r="K181"/>
  <c r="J181"/>
  <c r="I181"/>
  <c r="H181"/>
  <c r="G181"/>
  <c r="N179"/>
  <c r="M179"/>
  <c r="L179"/>
  <c r="K179"/>
  <c r="J179"/>
  <c r="I179"/>
  <c r="H179"/>
  <c r="M174"/>
  <c r="N174" s="1"/>
  <c r="I174"/>
  <c r="J174" s="1"/>
  <c r="M172"/>
  <c r="N172" s="1"/>
  <c r="J172"/>
  <c r="K172" s="1"/>
  <c r="G172"/>
  <c r="M171"/>
  <c r="N171" s="1"/>
  <c r="K171"/>
  <c r="J169"/>
  <c r="K169" s="1"/>
  <c r="I169"/>
  <c r="H169"/>
  <c r="H167" s="1"/>
  <c r="G169"/>
  <c r="L167"/>
  <c r="I167"/>
  <c r="J165"/>
  <c r="L165" s="1"/>
  <c r="N165" s="1"/>
  <c r="I165"/>
  <c r="H165"/>
  <c r="G165"/>
  <c r="G156" s="1"/>
  <c r="H163"/>
  <c r="I163" s="1"/>
  <c r="L162"/>
  <c r="M162" s="1"/>
  <c r="N162" s="1"/>
  <c r="L161"/>
  <c r="M161" s="1"/>
  <c r="N161" s="1"/>
  <c r="M159"/>
  <c r="N159" s="1"/>
  <c r="M158"/>
  <c r="H146"/>
  <c r="H131" s="1"/>
  <c r="H136"/>
  <c r="J131"/>
  <c r="I131"/>
  <c r="I129"/>
  <c r="H129"/>
  <c r="J124"/>
  <c r="I124"/>
  <c r="H124"/>
  <c r="J119"/>
  <c r="I119"/>
  <c r="H119"/>
  <c r="J118"/>
  <c r="J112"/>
  <c r="I112"/>
  <c r="H112"/>
  <c r="H103" s="1"/>
  <c r="H102" s="1"/>
  <c r="J106"/>
  <c r="I106"/>
  <c r="H106"/>
  <c r="J103"/>
  <c r="J102" s="1"/>
  <c r="L100"/>
  <c r="M100" s="1"/>
  <c r="N100" s="1"/>
  <c r="K99"/>
  <c r="L99" s="1"/>
  <c r="M99" s="1"/>
  <c r="N99" s="1"/>
  <c r="N98"/>
  <c r="L98"/>
  <c r="M98" s="1"/>
  <c r="K98"/>
  <c r="L92"/>
  <c r="M92" s="1"/>
  <c r="N92" s="1"/>
  <c r="G91"/>
  <c r="G83" s="1"/>
  <c r="L90"/>
  <c r="M90" s="1"/>
  <c r="N90" s="1"/>
  <c r="L89"/>
  <c r="M89" s="1"/>
  <c r="N89" s="1"/>
  <c r="L88"/>
  <c r="M88" s="1"/>
  <c r="N88" s="1"/>
  <c r="L87"/>
  <c r="M87" s="1"/>
  <c r="N87" s="1"/>
  <c r="L86"/>
  <c r="M86" s="1"/>
  <c r="N86" s="1"/>
  <c r="L85"/>
  <c r="M85" s="1"/>
  <c r="J83"/>
  <c r="I83"/>
  <c r="H83"/>
  <c r="G70"/>
  <c r="J59"/>
  <c r="I59"/>
  <c r="H59"/>
  <c r="H36"/>
  <c r="G36"/>
  <c r="G24"/>
  <c r="I23"/>
  <c r="I24" s="1"/>
  <c r="H23"/>
  <c r="E23"/>
  <c r="F24" s="1"/>
  <c r="D23"/>
  <c r="C23"/>
  <c r="J8"/>
  <c r="I8"/>
  <c r="K167" l="1"/>
  <c r="J167"/>
  <c r="D24"/>
  <c r="M216"/>
  <c r="N215"/>
  <c r="N216" s="1"/>
  <c r="J24"/>
  <c r="E24"/>
  <c r="I103"/>
  <c r="I102" s="1"/>
  <c r="I153" s="1"/>
  <c r="G167"/>
  <c r="K8"/>
  <c r="K166"/>
  <c r="L216"/>
  <c r="M211"/>
  <c r="N211" s="1"/>
  <c r="M8"/>
  <c r="L214"/>
  <c r="L36"/>
  <c r="K214"/>
  <c r="N158"/>
  <c r="J163"/>
  <c r="I160"/>
  <c r="I156" s="1"/>
  <c r="I173" s="1"/>
  <c r="N85"/>
  <c r="G173"/>
  <c r="N204"/>
  <c r="N208" s="1"/>
  <c r="M208"/>
  <c r="N167"/>
  <c r="H153"/>
  <c r="G166"/>
  <c r="M167"/>
  <c r="L208"/>
  <c r="H160"/>
  <c r="H156" s="1"/>
  <c r="H173" s="1"/>
  <c r="M165"/>
  <c r="M36" l="1"/>
  <c r="M214"/>
  <c r="N8"/>
  <c r="K163"/>
  <c r="J160"/>
  <c r="J156" s="1"/>
  <c r="N36" l="1"/>
  <c r="N214"/>
  <c r="L163"/>
  <c r="J173"/>
  <c r="J166"/>
  <c r="M163" l="1"/>
  <c r="L160"/>
  <c r="L156" s="1"/>
  <c r="K173"/>
  <c r="N163" l="1"/>
  <c r="N160" s="1"/>
  <c r="N156" s="1"/>
  <c r="M160"/>
  <c r="M156" s="1"/>
  <c r="L166"/>
  <c r="L173"/>
  <c r="N173" l="1"/>
  <c r="N166"/>
  <c r="M173"/>
  <c r="M166"/>
</calcChain>
</file>

<file path=xl/sharedStrings.xml><?xml version="1.0" encoding="utf-8"?>
<sst xmlns="http://schemas.openxmlformats.org/spreadsheetml/2006/main" count="604" uniqueCount="213">
  <si>
    <t>единиц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</si>
  <si>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</si>
  <si>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</si>
  <si>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</si>
  <si>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</si>
  <si>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</si>
  <si>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</si>
  <si>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отчет</t>
  </si>
  <si>
    <t>прогноз</t>
  </si>
  <si>
    <t>1. Демографические показатели</t>
  </si>
  <si>
    <t xml:space="preserve">Численность постоянного населения (среднегодовая) </t>
  </si>
  <si>
    <t>тыс. человек</t>
  </si>
  <si>
    <t xml:space="preserve">темп роста </t>
  </si>
  <si>
    <t>% к пред.  году</t>
  </si>
  <si>
    <t xml:space="preserve">индекс-дефлятор </t>
  </si>
  <si>
    <t>2. Производство товаров и услуг</t>
  </si>
  <si>
    <t xml:space="preserve">   2.1. Валовой региональный продукт</t>
  </si>
  <si>
    <t xml:space="preserve">Валовой региональный продукт (в основных ценах соответствующих лет) - всего </t>
  </si>
  <si>
    <t xml:space="preserve">млн. руб. </t>
  </si>
  <si>
    <t>2.2.1 Выпуск товаров и услуг</t>
  </si>
  <si>
    <t>Выпуск товаров и услуг</t>
  </si>
  <si>
    <t>млн. руб. в основных ценах соответствующих лет</t>
  </si>
  <si>
    <t>2.2.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</si>
  <si>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</si>
  <si>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</t>
  </si>
  <si>
    <t>2.3. Сельское хозяйство</t>
  </si>
  <si>
    <t>Продукция сельского хозяйства  в хозяйствах всех категорий</t>
  </si>
  <si>
    <t xml:space="preserve">млн.руб. </t>
  </si>
  <si>
    <t>в том числе:</t>
  </si>
  <si>
    <t>Продукция растениеводства</t>
  </si>
  <si>
    <t>Продукция животноводства</t>
  </si>
  <si>
    <t>2.4. Транспорт и связь</t>
  </si>
  <si>
    <t>2.4.1.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</si>
  <si>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</t>
  </si>
  <si>
    <t>км</t>
  </si>
  <si>
    <t>2.4.2. Связь</t>
  </si>
  <si>
    <t>Объем  услуг связи - всего</t>
  </si>
  <si>
    <t>-</t>
  </si>
  <si>
    <t>Плотность телефонных аппаратов фиксированной электросвязи на 100 человек населения</t>
  </si>
  <si>
    <t>Количество абонентов, подключенных к сетям подвижной связи</t>
  </si>
  <si>
    <t>млн.ед.</t>
  </si>
  <si>
    <t>Количество почтовых ящиков на 10000 человек</t>
  </si>
  <si>
    <t>2.5. Строительство</t>
  </si>
  <si>
    <t xml:space="preserve">Объем работ, выполненных по виду деятельности "строительство" </t>
  </si>
  <si>
    <t>3. Рынок товаров и услуг</t>
  </si>
  <si>
    <t xml:space="preserve">Оборот розничной торговли </t>
  </si>
  <si>
    <t>млн. руб.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</si>
  <si>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</si>
  <si>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</si>
  <si>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</si>
  <si>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</si>
  <si>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 xml:space="preserve">5. Малое и среднее предпринимательство </t>
  </si>
  <si>
    <t>Число средних предприятий (на конец года)</t>
  </si>
  <si>
    <t>в том числе по отдельным видам экономической деятельности: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</si>
  <si>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</si>
  <si>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</si>
  <si>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</si>
  <si>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</si>
  <si>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</si>
  <si>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</si>
  <si>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</si>
  <si>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</si>
  <si>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Число малых предприятий, включая микропредприятия (на конец года)</t>
  </si>
  <si>
    <t>сельское хозяйство, охота и лесное хозяйство</t>
  </si>
  <si>
    <t>ПРОЧИЕ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</si>
  <si>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</si>
  <si>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</si>
  <si>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в том числе по видам экономической деятельности:</t>
  </si>
  <si>
    <t>операции с недвижимом имуществом, аренда и предоставление услуг</t>
  </si>
  <si>
    <t>научные исследования и разработки</t>
  </si>
  <si>
    <t>Оборот малых предприятий, включая микропредприятия</t>
  </si>
  <si>
    <t>сельское хозяйство,охота и лесное хозяйство</t>
  </si>
  <si>
    <t>6. Инвестиции</t>
  </si>
  <si>
    <t>Объем инвестиций в основной капитал за счет всех источников финансирования</t>
  </si>
  <si>
    <t>7. Основные фонды</t>
  </si>
  <si>
    <t>Ввод действии новых основных фондов</t>
  </si>
  <si>
    <t>млн.руб.</t>
  </si>
  <si>
    <t>Среднегодовая стоимость ОФ</t>
  </si>
  <si>
    <t>тыс.кв.м общ.пл-ди</t>
  </si>
  <si>
    <t>8. Финансы</t>
  </si>
  <si>
    <t>Доходы местного бюджета - всего</t>
  </si>
  <si>
    <t>Налоговые доходы</t>
  </si>
  <si>
    <t>налоги на прибыль - всего</t>
  </si>
  <si>
    <t>налог на доходы физических лиц</t>
  </si>
  <si>
    <t>налоги на имущество - всего</t>
  </si>
  <si>
    <t>налог на имущество физических лиц</t>
  </si>
  <si>
    <t>транспортный налог</t>
  </si>
  <si>
    <t>земельный налог</t>
  </si>
  <si>
    <t>налоги на товары (работы, услуги) реализуемые на территории РФ</t>
  </si>
  <si>
    <t>акцизы по подакцизным товарам, производимым на территории РФ</t>
  </si>
  <si>
    <t>налоги на совокупный доход - всего</t>
  </si>
  <si>
    <t>единый налог, взимаемый по упрощенной системе налогообложения</t>
  </si>
  <si>
    <t>единый сельскохозяйственный налог</t>
  </si>
  <si>
    <t>налоги, сборы и платежи за пользование природными ресурсами</t>
  </si>
  <si>
    <t>НДС</t>
  </si>
  <si>
    <t>прочие налоговые доходы</t>
  </si>
  <si>
    <t>Неналоговые доходы</t>
  </si>
  <si>
    <t>доходы от использования имущества, находящегося в муниципальной собственности</t>
  </si>
  <si>
    <t>в том числе от сдачи в аренду муниципального имущества</t>
  </si>
  <si>
    <t>доходы от продажи материальных и нематериальных активов</t>
  </si>
  <si>
    <t>другие неналоговые доходы</t>
  </si>
  <si>
    <t>Безвозмездные поступления - всего</t>
  </si>
  <si>
    <t>дотации от других бюджетов бюджетной системы РФ</t>
  </si>
  <si>
    <t>субвенции от других бюджетов бюджетной системы РФ</t>
  </si>
  <si>
    <t>средства, получаемые на компенсацию дополнительных расходов по решениям, принятым органами власти другого уровня</t>
  </si>
  <si>
    <t>субсидии от других бюджетов бюджетной системы РФ</t>
  </si>
  <si>
    <t>прочие безвозмездные поступления</t>
  </si>
  <si>
    <t>Расходы местного бюджета - всего</t>
  </si>
  <si>
    <t>Общегосударственные вопросы</t>
  </si>
  <si>
    <t>функционирование законодательных (представительных) органов МС</t>
  </si>
  <si>
    <t>функционирование местных администраций</t>
  </si>
  <si>
    <t>обслуживание государственного и муниципального долга</t>
  </si>
  <si>
    <t>Национальная экономика</t>
  </si>
  <si>
    <t>топливо и энергетика</t>
  </si>
  <si>
    <t>сельское хозяйство и рыболовство</t>
  </si>
  <si>
    <t>транспорт-дорожное хозяйство</t>
  </si>
  <si>
    <t>другие вопросы в области национальной экономики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</si>
  <si>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</si>
  <si>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</si>
  <si>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</si>
  <si>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</si>
  <si>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</si>
  <si>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</si>
  <si>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</si>
  <si>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</si>
  <si>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</si>
  <si>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</si>
  <si>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Дотации на выравнивание бюджетной обеспеченности субъектов Российской Федерации и муниципальных образований</t>
  </si>
  <si>
    <t>Прочие расходы</t>
  </si>
  <si>
    <t>Дефицит (минус) профицит (плюс) местного бюджета</t>
  </si>
  <si>
    <t>Внутренний муниципальный долг (на конец периода)</t>
  </si>
  <si>
    <t>9. Денежные доходы и расходы населения</t>
  </si>
  <si>
    <t>Денежные доходы населения</t>
  </si>
  <si>
    <t>доходы от предпринимательской деятельности</t>
  </si>
  <si>
    <t>оплата труда, включая скрытую заработную плату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</si>
  <si>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</si>
  <si>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</si>
  <si>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</si>
  <si>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</si>
  <si>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</si>
  <si>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</si>
  <si>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</si>
  <si>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</si>
  <si>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Расходы населения</t>
  </si>
  <si>
    <t xml:space="preserve"> </t>
  </si>
  <si>
    <t>покупка товаров и оплата услуг</t>
  </si>
  <si>
    <t>из них покупка товаров</t>
  </si>
  <si>
    <t>обязательные платежи и разнообразные взносы</t>
  </si>
  <si>
    <t>прочие расходы</t>
  </si>
  <si>
    <t>Превышение доходов над расходами (+), или расходов над доходами (-)</t>
  </si>
  <si>
    <t>Средний размер назначенных месячных пенсий пенсионеров, состоящих на учете в системе Пенсионного фонда РФ</t>
  </si>
  <si>
    <t>руб.</t>
  </si>
  <si>
    <t>10. Труд и занятость</t>
  </si>
  <si>
    <t>Численность трудовых ресурсов</t>
  </si>
  <si>
    <t>Численность занятых в экономике (среднегодовая)</t>
  </si>
  <si>
    <t>Распределение среднегодовой численности занятых в экономике по формам собственности: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</si>
  <si>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</si>
  <si>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</si>
  <si>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</si>
  <si>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</si>
  <si>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</si>
  <si>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</si>
  <si>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</si>
  <si>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</si>
  <si>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</si>
  <si>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Учащиеся в трудоспособном возрасте, обучающиеся с отрывом от производства</t>
  </si>
  <si>
    <t>Трудоспособные лица в трудоспособном возрасте, не занятые трудовой деятельностью и учебой</t>
  </si>
  <si>
    <t>Уровень безработицы (по методологии МОТ)</t>
  </si>
  <si>
    <t>%</t>
  </si>
  <si>
    <t>Уровень зарегистрированной безработицы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</si>
  <si>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</si>
  <si>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</si>
  <si>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Среднесписочная численность работников организаций - всего</t>
  </si>
  <si>
    <t>Фонд начисленной заработной платы всех работников</t>
  </si>
  <si>
    <t>Выплаты социального характера - всего</t>
  </si>
  <si>
    <t>11. Развитие социальной сферы</t>
  </si>
  <si>
    <t>Численность детей в дошкольных образовательных учреждениях</t>
  </si>
  <si>
    <t>человек</t>
  </si>
  <si>
    <t>Численность обучающихся в образовательных  учреждениях:</t>
  </si>
  <si>
    <t>государственных и муниципальных (без вечерних (сменных)</t>
  </si>
  <si>
    <t>вечерних (сменных)</t>
  </si>
  <si>
    <t>негосударственных</t>
  </si>
  <si>
    <t>Численность обучающихся в первую смену в государственных и муниципальных общеобразовательных учреждениях (без вечерних (сменных) общеобразовательных учреждений)</t>
  </si>
  <si>
    <t xml:space="preserve"> %</t>
  </si>
  <si>
    <t xml:space="preserve">Ввод в действие жилых домов </t>
  </si>
  <si>
    <t>тыс. кв. м общей площади</t>
  </si>
  <si>
    <t>в том числе за счет:</t>
  </si>
  <si>
    <t>средств федерального бюджета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</si>
  <si>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</si>
  <si>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</si>
  <si>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в среднем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</si>
  <si>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</si>
  <si>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</si>
  <si>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>тыс. руб.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</si>
  <si>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</si>
  <si>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</si>
  <si>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тыс. чел.</t>
  </si>
  <si>
    <t>человек на 1 000 человек населения</t>
  </si>
  <si>
    <t>Объем платных услуг населению</t>
  </si>
  <si>
    <t>возврат субвенций</t>
  </si>
  <si>
    <t>прочие</t>
  </si>
  <si>
    <t>Ввод в действие жилых домов за счет всех источников финансирования</t>
  </si>
  <si>
    <t>1(</t>
  </si>
  <si>
    <t xml:space="preserve">оценка 2019 </t>
  </si>
  <si>
    <t>единый налог на вмененный доход для отдельных видов деятельности</t>
  </si>
  <si>
    <t xml:space="preserve"> Прогноз социально-экономического развития  на  2020 год  и на плановый период   2021 и 2022 годов</t>
  </si>
  <si>
    <t>Ремонт асфальтнобетонного покрытия, устройство тротуара с. Миатли</t>
  </si>
  <si>
    <t>Благоустройство сквера с. Стальское</t>
  </si>
  <si>
    <t>Строительство площадки для волейбола с. З-Миатли</t>
  </si>
  <si>
    <t>Асфальтирование улиц с. Гельбах</t>
  </si>
  <si>
    <t>Благоустройство общественных территории с. Миатли</t>
  </si>
  <si>
    <t>«Ремонт асфальтобетонного покрытия ул. Орджоникидзе в с. Акнада»</t>
  </si>
  <si>
    <t>Начальник отдела экономики и прогнозирования                                                                                  М.А. Алиева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</si>
</sst>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0[$€-1]_-;\-* #,##0.00[$€-1]_-;_-* &quot;-&quot;??[$€-1]_-"/>
    <numFmt numFmtId="166" formatCode="0.0"/>
    <numFmt numFmtId="167" formatCode="0.00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</font>
    <font>
      <sz val="9"/>
      <name val="Arial Cyr"/>
      <family val="2"/>
      <charset val="204"/>
    </font>
    <font>
      <b/>
      <sz val="8"/>
      <name val="Tahoma"/>
      <family val="2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</font>
    <font>
      <i/>
      <sz val="8"/>
      <color indexed="8"/>
      <name val="Tahoma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ahoma"/>
      <family val="2"/>
    </font>
    <font>
      <sz val="9"/>
      <name val="Arial"/>
      <family val="2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ahoma"/>
      <family val="2"/>
      <charset val="204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b/>
      <sz val="8"/>
      <color indexed="8"/>
      <name val="Tahoma"/>
      <family val="2"/>
    </font>
    <font>
      <sz val="11"/>
      <name val="Tahoma"/>
      <family val="2"/>
    </font>
    <font>
      <sz val="8"/>
      <name val="Tahoma"/>
      <family val="2"/>
    </font>
    <font>
      <sz val="8"/>
      <name val="Arial"/>
      <family val="2"/>
      <charset val="204"/>
    </font>
    <font>
      <b/>
      <sz val="11"/>
      <color indexed="8"/>
      <name val="Tahoma"/>
      <family val="2"/>
      <charset val="204"/>
    </font>
    <font>
      <sz val="7.5"/>
      <color indexed="8"/>
      <name val="Tahoma"/>
      <family val="2"/>
    </font>
    <font>
      <sz val="8"/>
      <name val="Verdana"/>
      <family val="2"/>
      <charset val="204"/>
    </font>
    <font>
      <i/>
      <sz val="10"/>
      <color indexed="8"/>
      <name val="Tahoma"/>
      <family val="2"/>
      <charset val="204"/>
    </font>
    <font>
      <sz val="14"/>
      <color indexed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8"/>
      <name val="Courier New"/>
      <family val="3"/>
      <charset val="204"/>
    </font>
    <font>
      <b/>
      <sz val="9"/>
      <name val="Arial Cyr"/>
      <charset val="204"/>
    </font>
    <font>
      <u/>
      <sz val="10"/>
      <color indexed="12"/>
      <name val="Arial CYR"/>
      <charset val="204"/>
    </font>
    <font>
      <sz val="10"/>
      <color theme="0"/>
      <name val="Tahoma"/>
      <family val="2"/>
      <charset val="204"/>
    </font>
    <font>
      <sz val="10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2" fillId="0" borderId="0"/>
    <xf numFmtId="164" fontId="6" fillId="0" borderId="0" applyFont="0" applyFill="0" applyBorder="0" applyAlignment="0" applyProtection="0"/>
    <xf numFmtId="0" fontId="5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5" fillId="0" borderId="0"/>
    <xf numFmtId="164" fontId="6" fillId="0" borderId="0" applyFont="0" applyFill="0" applyBorder="0" applyAlignment="0" applyProtection="0"/>
  </cellStyleXfs>
  <cellXfs count="158">
    <xf numFmtId="0" fontId="0" fillId="0" borderId="0" xfId="0"/>
    <xf numFmtId="2" fontId="16" fillId="2" borderId="1" xfId="15" applyNumberFormat="1" applyFont="1" applyFill="1" applyBorder="1" applyAlignment="1" applyProtection="1">
      <alignment horizontal="right"/>
      <protection locked="0"/>
    </xf>
    <xf numFmtId="0" fontId="9" fillId="0" borderId="0" xfId="18" applyFont="1" applyFill="1" applyProtection="1"/>
    <xf numFmtId="49" fontId="10" fillId="0" borderId="1" xfId="18" applyNumberFormat="1" applyFont="1" applyFill="1" applyBorder="1" applyAlignment="1" applyProtection="1">
      <alignment horizontal="centerContinuous" vertical="center"/>
    </xf>
    <xf numFmtId="49" fontId="10" fillId="0" borderId="1" xfId="18" applyNumberFormat="1" applyFont="1" applyFill="1" applyBorder="1" applyAlignment="1" applyProtection="1">
      <alignment horizontal="centerContinuous" vertical="center" wrapText="1"/>
    </xf>
    <xf numFmtId="49" fontId="10" fillId="0" borderId="1" xfId="18" applyNumberFormat="1" applyFont="1" applyFill="1" applyBorder="1" applyAlignment="1" applyProtection="1">
      <alignment horizontal="center" vertical="center" wrapText="1"/>
    </xf>
    <xf numFmtId="0" fontId="10" fillId="0" borderId="1" xfId="18" applyFont="1" applyBorder="1" applyAlignment="1" applyProtection="1">
      <alignment horizontal="centerContinuous" vertical="center" wrapText="1"/>
    </xf>
    <xf numFmtId="0" fontId="10" fillId="0" borderId="1" xfId="18" applyFont="1" applyFill="1" applyBorder="1" applyAlignment="1" applyProtection="1">
      <alignment horizontal="centerContinuous" vertical="center"/>
    </xf>
    <xf numFmtId="0" fontId="10" fillId="0" borderId="1" xfId="18" applyFont="1" applyFill="1" applyBorder="1" applyAlignment="1" applyProtection="1">
      <alignment horizontal="centerContinuous"/>
    </xf>
    <xf numFmtId="0" fontId="10" fillId="0" borderId="1" xfId="18" applyFont="1" applyFill="1" applyBorder="1" applyAlignment="1" applyProtection="1">
      <alignment horizontal="right"/>
    </xf>
    <xf numFmtId="0" fontId="11" fillId="3" borderId="1" xfId="18" applyFont="1" applyFill="1" applyBorder="1" applyAlignment="1" applyProtection="1">
      <alignment horizontal="left" vertical="center" wrapText="1"/>
    </xf>
    <xf numFmtId="0" fontId="12" fillId="3" borderId="1" xfId="18" applyFont="1" applyFill="1" applyBorder="1" applyAlignment="1" applyProtection="1">
      <alignment horizontal="center" vertical="center" wrapText="1"/>
    </xf>
    <xf numFmtId="2" fontId="13" fillId="0" borderId="1" xfId="18" applyNumberFormat="1" applyFont="1" applyFill="1" applyBorder="1" applyAlignment="1" applyProtection="1">
      <alignment horizontal="center" vertical="center"/>
      <protection locked="0"/>
    </xf>
    <xf numFmtId="2" fontId="13" fillId="0" borderId="1" xfId="18" applyNumberFormat="1" applyFont="1" applyFill="1" applyBorder="1" applyAlignment="1" applyProtection="1">
      <alignment horizontal="center" vertical="top" wrapText="1"/>
      <protection locked="0"/>
    </xf>
    <xf numFmtId="0" fontId="9" fillId="0" borderId="1" xfId="18" applyFont="1" applyFill="1" applyBorder="1" applyProtection="1"/>
    <xf numFmtId="0" fontId="13" fillId="2" borderId="1" xfId="18" applyFont="1" applyFill="1" applyBorder="1" applyAlignment="1" applyProtection="1">
      <alignment horizontal="left" vertical="center" wrapText="1" indent="1"/>
    </xf>
    <xf numFmtId="0" fontId="13" fillId="2" borderId="1" xfId="18" applyFont="1" applyFill="1" applyBorder="1" applyAlignment="1" applyProtection="1">
      <alignment horizontal="center" vertical="center" wrapText="1"/>
    </xf>
    <xf numFmtId="2" fontId="15" fillId="2" borderId="1" xfId="18" applyNumberFormat="1" applyFont="1" applyFill="1" applyBorder="1" applyAlignment="1" applyProtection="1">
      <alignment horizontal="right" vertical="center"/>
    </xf>
    <xf numFmtId="2" fontId="13" fillId="2" borderId="1" xfId="18" applyNumberFormat="1" applyFont="1" applyFill="1" applyBorder="1" applyAlignment="1" applyProtection="1">
      <alignment horizontal="center" vertical="top" wrapText="1"/>
      <protection locked="0"/>
    </xf>
    <xf numFmtId="2" fontId="14" fillId="2" borderId="1" xfId="18" applyNumberFormat="1" applyFont="1" applyFill="1" applyBorder="1" applyAlignment="1" applyProtection="1">
      <alignment horizontal="right"/>
      <protection locked="0"/>
    </xf>
    <xf numFmtId="2" fontId="16" fillId="4" borderId="1" xfId="18" applyNumberFormat="1" applyFont="1" applyFill="1" applyBorder="1" applyAlignment="1" applyProtection="1">
      <alignment horizontal="right"/>
      <protection locked="0"/>
    </xf>
    <xf numFmtId="2" fontId="16" fillId="2" borderId="1" xfId="18" applyNumberFormat="1" applyFont="1" applyFill="1" applyBorder="1" applyAlignment="1" applyProtection="1">
      <alignment horizontal="right"/>
      <protection locked="0"/>
    </xf>
    <xf numFmtId="0" fontId="17" fillId="2" borderId="1" xfId="18" applyFont="1" applyFill="1" applyBorder="1" applyAlignment="1" applyProtection="1">
      <alignment horizontal="center" vertical="center" wrapText="1"/>
    </xf>
    <xf numFmtId="2" fontId="18" fillId="2" borderId="1" xfId="18" applyNumberFormat="1" applyFont="1" applyFill="1" applyBorder="1" applyAlignment="1" applyProtection="1">
      <alignment horizontal="right"/>
      <protection locked="0"/>
    </xf>
    <xf numFmtId="0" fontId="11" fillId="2" borderId="1" xfId="18" applyFont="1" applyFill="1" applyBorder="1" applyAlignment="1" applyProtection="1">
      <alignment horizontal="left" vertical="center" wrapText="1"/>
    </xf>
    <xf numFmtId="0" fontId="19" fillId="2" borderId="1" xfId="18" applyFont="1" applyFill="1" applyBorder="1"/>
    <xf numFmtId="0" fontId="20" fillId="2" borderId="1" xfId="18" applyFont="1" applyFill="1" applyBorder="1" applyAlignment="1" applyProtection="1">
      <alignment horizontal="left" vertical="center" wrapText="1"/>
    </xf>
    <xf numFmtId="0" fontId="9" fillId="2" borderId="0" xfId="18" applyFont="1" applyFill="1" applyProtection="1"/>
    <xf numFmtId="0" fontId="9" fillId="2" borderId="4" xfId="18" applyFont="1" applyFill="1" applyBorder="1" applyProtection="1"/>
    <xf numFmtId="0" fontId="21" fillId="2" borderId="1" xfId="18" applyFont="1" applyFill="1" applyBorder="1" applyAlignment="1" applyProtection="1">
      <alignment horizontal="left" vertical="center" wrapText="1"/>
    </xf>
    <xf numFmtId="0" fontId="20" fillId="2" borderId="1" xfId="18" applyFont="1" applyFill="1" applyBorder="1" applyAlignment="1" applyProtection="1">
      <alignment horizontal="left" vertical="center" wrapText="1" indent="1"/>
    </xf>
    <xf numFmtId="0" fontId="13" fillId="2" borderId="1" xfId="18" applyFont="1" applyFill="1" applyBorder="1" applyAlignment="1">
      <alignment horizontal="center" vertical="top" wrapText="1"/>
    </xf>
    <xf numFmtId="2" fontId="9" fillId="2" borderId="1" xfId="18" applyNumberFormat="1" applyFont="1" applyFill="1" applyBorder="1" applyProtection="1"/>
    <xf numFmtId="0" fontId="20" fillId="2" borderId="1" xfId="18" applyFont="1" applyFill="1" applyBorder="1" applyAlignment="1" applyProtection="1">
      <alignment horizontal="left" vertical="center" wrapText="1" indent="2"/>
    </xf>
    <xf numFmtId="0" fontId="12" fillId="2" borderId="1" xfId="18" applyFont="1" applyFill="1" applyBorder="1" applyAlignment="1" applyProtection="1">
      <alignment horizontal="center" vertical="center" wrapText="1"/>
    </xf>
    <xf numFmtId="2" fontId="3" fillId="2" borderId="1" xfId="18" applyNumberFormat="1" applyFont="1" applyFill="1" applyBorder="1" applyAlignment="1" applyProtection="1">
      <alignment horizontal="right"/>
      <protection locked="0"/>
    </xf>
    <xf numFmtId="0" fontId="13" fillId="2" borderId="1" xfId="18" applyFont="1" applyFill="1" applyBorder="1" applyAlignment="1" applyProtection="1">
      <alignment horizontal="left" vertical="center" wrapText="1" indent="2"/>
    </xf>
    <xf numFmtId="166" fontId="9" fillId="0" borderId="0" xfId="18" applyNumberFormat="1" applyFont="1" applyFill="1" applyProtection="1"/>
    <xf numFmtId="2" fontId="18" fillId="2" borderId="1" xfId="18" applyNumberFormat="1" applyFont="1" applyFill="1" applyBorder="1" applyAlignment="1" applyProtection="1">
      <protection locked="0"/>
    </xf>
    <xf numFmtId="2" fontId="18" fillId="6" borderId="1" xfId="18" applyNumberFormat="1" applyFont="1" applyFill="1" applyBorder="1" applyAlignment="1" applyProtection="1">
      <protection locked="0"/>
    </xf>
    <xf numFmtId="0" fontId="23" fillId="2" borderId="1" xfId="18" applyFont="1" applyFill="1" applyBorder="1" applyAlignment="1">
      <alignment horizontal="center" vertical="top"/>
    </xf>
    <xf numFmtId="0" fontId="24" fillId="2" borderId="1" xfId="18" applyFont="1" applyFill="1" applyBorder="1" applyAlignment="1" applyProtection="1">
      <alignment horizontal="left" vertical="center" wrapText="1" indent="3"/>
    </xf>
    <xf numFmtId="2" fontId="16" fillId="4" borderId="7" xfId="18" applyNumberFormat="1" applyFont="1" applyFill="1" applyBorder="1" applyAlignment="1" applyProtection="1">
      <alignment horizontal="right"/>
      <protection locked="0"/>
    </xf>
    <xf numFmtId="2" fontId="16" fillId="2" borderId="7" xfId="18" applyNumberFormat="1" applyFont="1" applyFill="1" applyBorder="1" applyAlignment="1" applyProtection="1">
      <alignment horizontal="right"/>
      <protection locked="0"/>
    </xf>
    <xf numFmtId="0" fontId="9" fillId="2" borderId="1" xfId="18" applyFont="1" applyFill="1" applyBorder="1" applyProtection="1"/>
    <xf numFmtId="0" fontId="25" fillId="2" borderId="1" xfId="18" applyFont="1" applyFill="1" applyBorder="1" applyAlignment="1" applyProtection="1">
      <alignment horizontal="left" wrapText="1" indent="1"/>
    </xf>
    <xf numFmtId="0" fontId="24" fillId="2" borderId="1" xfId="18" applyFont="1" applyFill="1" applyBorder="1" applyAlignment="1" applyProtection="1">
      <alignment horizontal="center"/>
    </xf>
    <xf numFmtId="0" fontId="26" fillId="2" borderId="1" xfId="18" applyFont="1" applyFill="1" applyBorder="1" applyProtection="1"/>
    <xf numFmtId="0" fontId="27" fillId="2" borderId="1" xfId="18" applyFont="1" applyFill="1" applyBorder="1" applyAlignment="1" applyProtection="1">
      <alignment horizontal="left" vertical="center" wrapText="1" indent="1"/>
    </xf>
    <xf numFmtId="0" fontId="8" fillId="2" borderId="1" xfId="18" applyFont="1" applyFill="1" applyBorder="1" applyAlignment="1" applyProtection="1">
      <alignment horizontal="left" vertical="center" wrapText="1"/>
    </xf>
    <xf numFmtId="0" fontId="28" fillId="2" borderId="1" xfId="18" applyFont="1" applyFill="1" applyBorder="1" applyAlignment="1" applyProtection="1">
      <alignment horizontal="center" vertical="center" wrapText="1"/>
    </xf>
    <xf numFmtId="2" fontId="15" fillId="2" borderId="1" xfId="18" applyNumberFormat="1" applyFont="1" applyFill="1" applyBorder="1" applyAlignment="1" applyProtection="1">
      <alignment horizontal="right" vertical="center"/>
      <protection locked="0"/>
    </xf>
    <xf numFmtId="0" fontId="13" fillId="2" borderId="1" xfId="18" applyFont="1" applyFill="1" applyBorder="1" applyAlignment="1" applyProtection="1">
      <alignment horizontal="center" vertical="top" wrapText="1"/>
      <protection locked="0"/>
    </xf>
    <xf numFmtId="0" fontId="10" fillId="2" borderId="1" xfId="18" applyFont="1" applyFill="1" applyBorder="1" applyAlignment="1" applyProtection="1">
      <alignment horizontal="left" vertical="center" wrapText="1" indent="1"/>
    </xf>
    <xf numFmtId="0" fontId="29" fillId="2" borderId="1" xfId="18" applyFont="1" applyFill="1" applyBorder="1" applyAlignment="1" applyProtection="1">
      <alignment horizontal="center" vertical="center" wrapText="1"/>
    </xf>
    <xf numFmtId="0" fontId="29" fillId="2" borderId="1" xfId="18" applyFont="1" applyFill="1" applyBorder="1" applyAlignment="1" applyProtection="1">
      <alignment horizontal="left" vertical="center" wrapText="1" indent="1"/>
    </xf>
    <xf numFmtId="0" fontId="29" fillId="2" borderId="1" xfId="18" applyFont="1" applyFill="1" applyBorder="1" applyAlignment="1" applyProtection="1">
      <alignment horizontal="left" vertical="center" wrapText="1" indent="2"/>
    </xf>
    <xf numFmtId="1" fontId="14" fillId="2" borderId="1" xfId="18" applyNumberFormat="1" applyFont="1" applyFill="1" applyBorder="1" applyAlignment="1" applyProtection="1">
      <alignment horizontal="right"/>
      <protection locked="0"/>
    </xf>
    <xf numFmtId="0" fontId="29" fillId="2" borderId="1" xfId="18" applyFont="1" applyFill="1" applyBorder="1" applyAlignment="1" applyProtection="1">
      <alignment horizontal="left" vertical="center" wrapText="1" indent="3"/>
    </xf>
    <xf numFmtId="0" fontId="13" fillId="2" borderId="1" xfId="18" applyFont="1" applyFill="1" applyBorder="1" applyAlignment="1" applyProtection="1">
      <alignment horizontal="left" vertical="top" wrapText="1" indent="1"/>
    </xf>
    <xf numFmtId="0" fontId="13" fillId="2" borderId="1" xfId="18" applyFont="1" applyFill="1" applyBorder="1" applyAlignment="1" applyProtection="1">
      <alignment horizontal="center" vertical="top" wrapText="1"/>
    </xf>
    <xf numFmtId="0" fontId="13" fillId="2" borderId="1" xfId="18" applyFont="1" applyFill="1" applyBorder="1" applyAlignment="1" applyProtection="1">
      <alignment horizontal="left" vertical="center" wrapText="1" indent="3"/>
    </xf>
    <xf numFmtId="0" fontId="30" fillId="2" borderId="9" xfId="18" applyFont="1" applyFill="1" applyBorder="1" applyAlignment="1">
      <alignment horizontal="center" vertical="center" wrapText="1"/>
    </xf>
    <xf numFmtId="0" fontId="31" fillId="2" borderId="1" xfId="18" applyFont="1" applyFill="1" applyBorder="1" applyAlignment="1" applyProtection="1">
      <alignment horizontal="left" vertical="center" wrapText="1" indent="1"/>
    </xf>
    <xf numFmtId="0" fontId="25" fillId="2" borderId="1" xfId="18" applyFont="1" applyFill="1" applyBorder="1" applyAlignment="1" applyProtection="1">
      <alignment horizontal="left" vertical="center" wrapText="1" indent="1"/>
    </xf>
    <xf numFmtId="166" fontId="16" fillId="2" borderId="1" xfId="18" applyNumberFormat="1" applyFont="1" applyFill="1" applyBorder="1" applyAlignment="1" applyProtection="1">
      <alignment horizontal="right"/>
      <protection locked="0"/>
    </xf>
    <xf numFmtId="166" fontId="16" fillId="5" borderId="1" xfId="18" applyNumberFormat="1" applyFont="1" applyFill="1" applyBorder="1" applyAlignment="1" applyProtection="1">
      <alignment horizontal="right"/>
      <protection locked="0"/>
    </xf>
    <xf numFmtId="166" fontId="9" fillId="2" borderId="1" xfId="18" applyNumberFormat="1" applyFont="1" applyFill="1" applyBorder="1" applyProtection="1"/>
    <xf numFmtId="0" fontId="26" fillId="2" borderId="1" xfId="18" applyFont="1" applyFill="1" applyBorder="1"/>
    <xf numFmtId="0" fontId="24" fillId="2" borderId="1" xfId="18" applyFont="1" applyFill="1" applyBorder="1" applyAlignment="1" applyProtection="1">
      <alignment horizontal="left" vertical="center" wrapText="1" indent="1"/>
    </xf>
    <xf numFmtId="0" fontId="32" fillId="2" borderId="1" xfId="18" applyFont="1" applyFill="1" applyBorder="1" applyAlignment="1" applyProtection="1">
      <alignment horizontal="center" vertical="center" wrapText="1"/>
    </xf>
    <xf numFmtId="2" fontId="14" fillId="2" borderId="1" xfId="18" applyNumberFormat="1" applyFont="1" applyFill="1" applyBorder="1" applyAlignment="1" applyProtection="1">
      <alignment horizontal="center"/>
      <protection locked="0"/>
    </xf>
    <xf numFmtId="0" fontId="25" fillId="2" borderId="1" xfId="18" applyFont="1" applyFill="1" applyBorder="1" applyAlignment="1" applyProtection="1">
      <alignment horizontal="left" vertical="center" wrapText="1" indent="2"/>
    </xf>
    <xf numFmtId="166" fontId="14" fillId="2" borderId="1" xfId="18" applyNumberFormat="1" applyFont="1" applyFill="1" applyBorder="1" applyAlignment="1" applyProtection="1">
      <alignment horizontal="right"/>
      <protection locked="0"/>
    </xf>
    <xf numFmtId="1" fontId="9" fillId="2" borderId="1" xfId="18" applyNumberFormat="1" applyFont="1" applyFill="1" applyBorder="1" applyProtection="1"/>
    <xf numFmtId="0" fontId="33" fillId="2" borderId="1" xfId="18" applyFont="1" applyFill="1" applyBorder="1" applyAlignment="1">
      <alignment horizontal="left" vertical="center" wrapText="1"/>
    </xf>
    <xf numFmtId="0" fontId="33" fillId="2" borderId="1" xfId="18" applyFont="1" applyFill="1" applyBorder="1" applyAlignment="1">
      <alignment horizontal="center" vertical="center" wrapText="1"/>
    </xf>
    <xf numFmtId="49" fontId="15" fillId="2" borderId="0" xfId="18" applyNumberFormat="1" applyFont="1" applyFill="1" applyAlignment="1" applyProtection="1">
      <alignment horizontal="center" vertical="center"/>
    </xf>
    <xf numFmtId="49" fontId="15" fillId="2" borderId="0" xfId="18" applyNumberFormat="1" applyFont="1" applyFill="1" applyAlignment="1" applyProtection="1">
      <alignment horizontal="center"/>
    </xf>
    <xf numFmtId="49" fontId="15" fillId="2" borderId="0" xfId="18" applyNumberFormat="1" applyFont="1" applyFill="1" applyAlignment="1" applyProtection="1">
      <alignment horizontal="right"/>
    </xf>
    <xf numFmtId="167" fontId="15" fillId="2" borderId="0" xfId="18" applyNumberFormat="1" applyFont="1" applyFill="1" applyProtection="1"/>
    <xf numFmtId="1" fontId="16" fillId="2" borderId="1" xfId="18" applyNumberFormat="1" applyFont="1" applyFill="1" applyBorder="1" applyAlignment="1" applyProtection="1">
      <alignment horizontal="right"/>
      <protection locked="0"/>
    </xf>
    <xf numFmtId="2" fontId="34" fillId="2" borderId="1" xfId="18" applyNumberFormat="1" applyFont="1" applyFill="1" applyBorder="1" applyAlignment="1" applyProtection="1">
      <alignment horizontal="right"/>
      <protection locked="0"/>
    </xf>
    <xf numFmtId="0" fontId="35" fillId="0" borderId="0" xfId="18" applyFont="1" applyAlignment="1">
      <alignment horizontal="justify"/>
    </xf>
    <xf numFmtId="0" fontId="15" fillId="0" borderId="0" xfId="18" applyFont="1" applyFill="1" applyProtection="1"/>
    <xf numFmtId="49" fontId="15" fillId="0" borderId="0" xfId="18" applyNumberFormat="1" applyFont="1" applyFill="1" applyAlignment="1" applyProtection="1">
      <alignment horizontal="center" vertical="center"/>
    </xf>
    <xf numFmtId="49" fontId="15" fillId="0" borderId="0" xfId="18" applyNumberFormat="1" applyFont="1" applyFill="1" applyAlignment="1" applyProtection="1">
      <alignment horizontal="center"/>
    </xf>
    <xf numFmtId="49" fontId="15" fillId="0" borderId="0" xfId="18" applyNumberFormat="1" applyFont="1" applyFill="1" applyAlignment="1" applyProtection="1">
      <alignment horizontal="right"/>
    </xf>
    <xf numFmtId="167" fontId="15" fillId="0" borderId="0" xfId="18" applyNumberFormat="1" applyFont="1" applyFill="1" applyProtection="1"/>
    <xf numFmtId="0" fontId="37" fillId="0" borderId="0" xfId="18" applyFont="1" applyAlignment="1">
      <alignment horizontal="justify"/>
    </xf>
    <xf numFmtId="0" fontId="38" fillId="0" borderId="0" xfId="18" applyFont="1"/>
    <xf numFmtId="2" fontId="4" fillId="0" borderId="10" xfId="18" applyNumberFormat="1" applyFont="1" applyFill="1" applyBorder="1" applyAlignment="1" applyProtection="1">
      <alignment horizontal="right"/>
      <protection locked="0"/>
    </xf>
    <xf numFmtId="49" fontId="9" fillId="0" borderId="0" xfId="18" applyNumberFormat="1" applyFont="1" applyFill="1" applyAlignment="1" applyProtection="1">
      <alignment horizontal="center" vertical="center"/>
    </xf>
    <xf numFmtId="49" fontId="9" fillId="0" borderId="0" xfId="18" applyNumberFormat="1" applyFont="1" applyFill="1" applyAlignment="1" applyProtection="1">
      <alignment horizontal="center"/>
    </xf>
    <xf numFmtId="49" fontId="9" fillId="0" borderId="0" xfId="18" applyNumberFormat="1" applyFont="1" applyFill="1" applyAlignment="1" applyProtection="1">
      <alignment horizontal="right"/>
    </xf>
    <xf numFmtId="2" fontId="4" fillId="2" borderId="11" xfId="18" applyNumberFormat="1" applyFont="1" applyFill="1" applyBorder="1" applyAlignment="1" applyProtection="1">
      <alignment horizontal="right"/>
      <protection locked="0"/>
    </xf>
    <xf numFmtId="2" fontId="4" fillId="2" borderId="0" xfId="18" applyNumberFormat="1" applyFont="1" applyFill="1" applyBorder="1" applyAlignment="1" applyProtection="1">
      <alignment horizontal="right"/>
      <protection locked="0"/>
    </xf>
    <xf numFmtId="0" fontId="37" fillId="2" borderId="0" xfId="18" applyFont="1" applyFill="1" applyAlignment="1">
      <alignment horizontal="justify"/>
    </xf>
    <xf numFmtId="2" fontId="9" fillId="2" borderId="0" xfId="18" applyNumberFormat="1" applyFont="1" applyFill="1" applyProtection="1"/>
    <xf numFmtId="166" fontId="16" fillId="0" borderId="1" xfId="18" applyNumberFormat="1" applyFont="1" applyFill="1" applyBorder="1" applyAlignment="1" applyProtection="1">
      <alignment horizontal="right"/>
      <protection locked="0"/>
    </xf>
    <xf numFmtId="166" fontId="18" fillId="2" borderId="1" xfId="18" applyNumberFormat="1" applyFont="1" applyFill="1" applyBorder="1" applyAlignment="1" applyProtection="1">
      <alignment horizontal="right"/>
      <protection locked="0"/>
    </xf>
    <xf numFmtId="166" fontId="23" fillId="2" borderId="1" xfId="18" applyNumberFormat="1" applyFont="1" applyFill="1" applyBorder="1" applyAlignment="1">
      <alignment horizontal="center" vertical="top"/>
    </xf>
    <xf numFmtId="166" fontId="41" fillId="0" borderId="1" xfId="18" applyNumberFormat="1" applyFont="1" applyFill="1" applyBorder="1" applyAlignment="1" applyProtection="1">
      <alignment horizontal="right"/>
      <protection locked="0"/>
    </xf>
    <xf numFmtId="2" fontId="16" fillId="2" borderId="3" xfId="18" applyNumberFormat="1" applyFont="1" applyFill="1" applyBorder="1" applyAlignment="1" applyProtection="1">
      <alignment horizontal="right"/>
      <protection locked="0"/>
    </xf>
    <xf numFmtId="166" fontId="16" fillId="0" borderId="3" xfId="18" applyNumberFormat="1" applyFont="1" applyFill="1" applyBorder="1" applyAlignment="1" applyProtection="1">
      <alignment horizontal="right"/>
      <protection locked="0"/>
    </xf>
    <xf numFmtId="166" fontId="18" fillId="2" borderId="3" xfId="18" applyNumberFormat="1" applyFont="1" applyFill="1" applyBorder="1" applyAlignment="1" applyProtection="1">
      <alignment horizontal="right"/>
      <protection locked="0"/>
    </xf>
    <xf numFmtId="166" fontId="23" fillId="2" borderId="3" xfId="18" applyNumberFormat="1" applyFont="1" applyFill="1" applyBorder="1" applyAlignment="1">
      <alignment horizontal="center" vertical="top"/>
    </xf>
    <xf numFmtId="166" fontId="16" fillId="2" borderId="3" xfId="18" applyNumberFormat="1" applyFont="1" applyFill="1" applyBorder="1" applyAlignment="1" applyProtection="1">
      <alignment horizontal="right"/>
      <protection locked="0"/>
    </xf>
    <xf numFmtId="166" fontId="41" fillId="0" borderId="3" xfId="18" applyNumberFormat="1" applyFont="1" applyFill="1" applyBorder="1" applyAlignment="1" applyProtection="1">
      <alignment horizontal="right"/>
      <protection locked="0"/>
    </xf>
    <xf numFmtId="2" fontId="9" fillId="0" borderId="1" xfId="18" applyNumberFormat="1" applyFont="1" applyFill="1" applyBorder="1" applyProtection="1"/>
    <xf numFmtId="2" fontId="42" fillId="2" borderId="1" xfId="18" applyNumberFormat="1" applyFont="1" applyFill="1" applyBorder="1" applyAlignment="1" applyProtection="1">
      <alignment horizontal="right"/>
      <protection locked="0"/>
    </xf>
    <xf numFmtId="0" fontId="43" fillId="2" borderId="1" xfId="18" applyFont="1" applyFill="1" applyBorder="1" applyProtection="1"/>
    <xf numFmtId="2" fontId="42" fillId="2" borderId="3" xfId="18" applyNumberFormat="1" applyFont="1" applyFill="1" applyBorder="1" applyAlignment="1" applyProtection="1">
      <alignment horizontal="right"/>
      <protection locked="0"/>
    </xf>
    <xf numFmtId="0" fontId="43" fillId="0" borderId="1" xfId="18" applyFont="1" applyFill="1" applyBorder="1" applyProtection="1"/>
    <xf numFmtId="0" fontId="27" fillId="5" borderId="1" xfId="18" applyFont="1" applyFill="1" applyBorder="1" applyAlignment="1" applyProtection="1">
      <alignment horizontal="left" vertical="center" wrapText="1" indent="1"/>
    </xf>
    <xf numFmtId="2" fontId="15" fillId="5" borderId="1" xfId="18" applyNumberFormat="1" applyFont="1" applyFill="1" applyBorder="1" applyAlignment="1" applyProtection="1">
      <alignment horizontal="right" vertical="center"/>
    </xf>
    <xf numFmtId="0" fontId="13" fillId="5" borderId="1" xfId="18" applyFont="1" applyFill="1" applyBorder="1" applyAlignment="1">
      <alignment horizontal="center" vertical="top" wrapText="1"/>
    </xf>
    <xf numFmtId="2" fontId="14" fillId="5" borderId="1" xfId="18" applyNumberFormat="1" applyFont="1" applyFill="1" applyBorder="1" applyAlignment="1" applyProtection="1">
      <alignment horizontal="right"/>
      <protection locked="0"/>
    </xf>
    <xf numFmtId="166" fontId="16" fillId="5" borderId="3" xfId="18" applyNumberFormat="1" applyFont="1" applyFill="1" applyBorder="1" applyAlignment="1" applyProtection="1">
      <alignment horizontal="right"/>
      <protection locked="0"/>
    </xf>
    <xf numFmtId="0" fontId="39" fillId="2" borderId="3" xfId="18" applyFont="1" applyFill="1" applyBorder="1" applyAlignment="1" applyProtection="1">
      <alignment horizontal="center" vertical="center"/>
    </xf>
    <xf numFmtId="0" fontId="10" fillId="0" borderId="7" xfId="18" applyFont="1" applyFill="1" applyBorder="1" applyAlignment="1" applyProtection="1">
      <alignment horizontal="center" vertical="center"/>
    </xf>
    <xf numFmtId="0" fontId="10" fillId="0" borderId="7" xfId="18" applyFont="1" applyFill="1" applyBorder="1" applyAlignment="1" applyProtection="1">
      <alignment horizontal="center" vertical="center" wrapText="1"/>
    </xf>
    <xf numFmtId="0" fontId="10" fillId="2" borderId="7" xfId="18" applyFont="1" applyFill="1" applyBorder="1" applyAlignment="1" applyProtection="1">
      <alignment horizontal="center" vertical="center" wrapText="1"/>
    </xf>
    <xf numFmtId="0" fontId="10" fillId="2" borderId="7" xfId="18" applyFont="1" applyFill="1" applyBorder="1" applyAlignment="1" applyProtection="1">
      <alignment horizontal="center" vertical="center"/>
    </xf>
    <xf numFmtId="0" fontId="10" fillId="2" borderId="1" xfId="18" applyFont="1" applyFill="1" applyBorder="1" applyAlignment="1" applyProtection="1">
      <alignment horizontal="center" vertical="center"/>
    </xf>
    <xf numFmtId="0" fontId="39" fillId="2" borderId="1" xfId="18" applyFont="1" applyFill="1" applyBorder="1" applyAlignment="1" applyProtection="1">
      <alignment horizontal="center" vertical="center"/>
    </xf>
    <xf numFmtId="166" fontId="16" fillId="7" borderId="1" xfId="18" applyNumberFormat="1" applyFont="1" applyFill="1" applyBorder="1" applyAlignment="1" applyProtection="1">
      <alignment horizontal="right"/>
      <protection locked="0"/>
    </xf>
    <xf numFmtId="166" fontId="18" fillId="2" borderId="1" xfId="18" applyNumberFormat="1" applyFont="1" applyFill="1" applyBorder="1" applyAlignment="1" applyProtection="1">
      <protection locked="0"/>
    </xf>
    <xf numFmtId="166" fontId="22" fillId="2" borderId="8" xfId="18" applyNumberFormat="1" applyFont="1" applyFill="1" applyBorder="1" applyAlignment="1">
      <alignment vertical="top"/>
    </xf>
    <xf numFmtId="166" fontId="16" fillId="2" borderId="7" xfId="18" applyNumberFormat="1" applyFont="1" applyFill="1" applyBorder="1" applyAlignment="1" applyProtection="1">
      <alignment horizontal="right"/>
      <protection locked="0"/>
    </xf>
    <xf numFmtId="166" fontId="16" fillId="2" borderId="12" xfId="18" applyNumberFormat="1" applyFont="1" applyFill="1" applyBorder="1" applyAlignment="1" applyProtection="1">
      <alignment horizontal="right"/>
      <protection locked="0"/>
    </xf>
    <xf numFmtId="0" fontId="44" fillId="0" borderId="15" xfId="0" applyFont="1" applyBorder="1" applyAlignment="1">
      <alignment horizontal="justify" vertical="top" wrapText="1"/>
    </xf>
    <xf numFmtId="0" fontId="44" fillId="0" borderId="16" xfId="0" applyFont="1" applyBorder="1" applyAlignment="1">
      <alignment horizontal="center" vertical="top" wrapText="1"/>
    </xf>
    <xf numFmtId="0" fontId="44" fillId="0" borderId="17" xfId="0" applyFont="1" applyBorder="1" applyAlignment="1">
      <alignment horizontal="justify" vertical="top" wrapText="1"/>
    </xf>
    <xf numFmtId="0" fontId="44" fillId="0" borderId="18" xfId="0" applyFont="1" applyBorder="1" applyAlignment="1">
      <alignment horizontal="center" vertical="top" wrapText="1"/>
    </xf>
    <xf numFmtId="0" fontId="39" fillId="2" borderId="5" xfId="18" applyFont="1" applyFill="1" applyBorder="1" applyAlignment="1" applyProtection="1">
      <alignment horizontal="center" vertical="center"/>
    </xf>
    <xf numFmtId="0" fontId="39" fillId="2" borderId="1" xfId="18" applyFont="1" applyFill="1" applyBorder="1" applyAlignment="1" applyProtection="1">
      <alignment horizontal="center" vertical="center"/>
    </xf>
    <xf numFmtId="0" fontId="36" fillId="0" borderId="0" xfId="18" applyFont="1" applyAlignment="1">
      <alignment horizontal="justify"/>
    </xf>
    <xf numFmtId="49" fontId="8" fillId="0" borderId="13" xfId="18" applyNumberFormat="1" applyFont="1" applyFill="1" applyBorder="1" applyAlignment="1" applyProtection="1">
      <alignment horizontal="center" vertical="center" wrapText="1"/>
    </xf>
    <xf numFmtId="49" fontId="8" fillId="0" borderId="0" xfId="18" applyNumberFormat="1" applyFont="1" applyFill="1" applyBorder="1" applyAlignment="1" applyProtection="1">
      <alignment horizontal="center" vertical="center" wrapText="1"/>
    </xf>
    <xf numFmtId="0" fontId="10" fillId="0" borderId="2" xfId="18" applyFont="1" applyFill="1" applyBorder="1" applyAlignment="1" applyProtection="1">
      <alignment horizontal="center" vertical="center"/>
    </xf>
    <xf numFmtId="0" fontId="10" fillId="0" borderId="6" xfId="18" applyFont="1" applyFill="1" applyBorder="1" applyAlignment="1" applyProtection="1">
      <alignment horizontal="center" vertical="center"/>
    </xf>
    <xf numFmtId="0" fontId="10" fillId="0" borderId="7" xfId="18" applyFont="1" applyFill="1" applyBorder="1" applyAlignment="1" applyProtection="1">
      <alignment horizontal="center" vertical="center"/>
    </xf>
    <xf numFmtId="0" fontId="10" fillId="0" borderId="2" xfId="18" applyFont="1" applyFill="1" applyBorder="1" applyAlignment="1" applyProtection="1">
      <alignment horizontal="center" vertical="center" wrapText="1"/>
    </xf>
    <xf numFmtId="0" fontId="10" fillId="0" borderId="6" xfId="18" applyFont="1" applyFill="1" applyBorder="1" applyAlignment="1" applyProtection="1">
      <alignment horizontal="center" vertical="center" wrapText="1"/>
    </xf>
    <xf numFmtId="0" fontId="10" fillId="0" borderId="7" xfId="18" applyFont="1" applyFill="1" applyBorder="1" applyAlignment="1" applyProtection="1">
      <alignment horizontal="center" vertical="center" wrapText="1"/>
    </xf>
    <xf numFmtId="0" fontId="10" fillId="2" borderId="3" xfId="18" applyFont="1" applyFill="1" applyBorder="1" applyAlignment="1" applyProtection="1">
      <alignment horizontal="center" vertical="center" wrapText="1"/>
    </xf>
    <xf numFmtId="0" fontId="10" fillId="2" borderId="4" xfId="18" applyFont="1" applyFill="1" applyBorder="1" applyAlignment="1" applyProtection="1">
      <alignment horizontal="center" vertical="center" wrapText="1"/>
    </xf>
    <xf numFmtId="0" fontId="10" fillId="2" borderId="2" xfId="18" applyFont="1" applyFill="1" applyBorder="1" applyAlignment="1" applyProtection="1">
      <alignment horizontal="center" vertical="center" wrapText="1"/>
    </xf>
    <xf numFmtId="0" fontId="10" fillId="2" borderId="6" xfId="18" applyFont="1" applyFill="1" applyBorder="1" applyAlignment="1" applyProtection="1">
      <alignment horizontal="center" vertical="center" wrapText="1"/>
    </xf>
    <xf numFmtId="0" fontId="10" fillId="2" borderId="7" xfId="18" applyFont="1" applyFill="1" applyBorder="1" applyAlignment="1" applyProtection="1">
      <alignment horizontal="center" vertical="center" wrapText="1"/>
    </xf>
    <xf numFmtId="0" fontId="10" fillId="2" borderId="5" xfId="18" applyFont="1" applyFill="1" applyBorder="1" applyAlignment="1" applyProtection="1">
      <alignment horizontal="center" vertical="center" wrapText="1"/>
    </xf>
    <xf numFmtId="0" fontId="10" fillId="2" borderId="1" xfId="18" applyFont="1" applyFill="1" applyBorder="1" applyAlignment="1" applyProtection="1">
      <alignment horizontal="center" vertical="center" wrapText="1"/>
    </xf>
    <xf numFmtId="0" fontId="10" fillId="2" borderId="2" xfId="18" applyFont="1" applyFill="1" applyBorder="1" applyAlignment="1" applyProtection="1">
      <alignment horizontal="center" vertical="center"/>
    </xf>
    <xf numFmtId="0" fontId="10" fillId="2" borderId="7" xfId="18" applyFont="1" applyFill="1" applyBorder="1" applyAlignment="1" applyProtection="1">
      <alignment horizontal="center" vertical="center"/>
    </xf>
    <xf numFmtId="0" fontId="10" fillId="2" borderId="1" xfId="18" applyFont="1" applyFill="1" applyBorder="1" applyAlignment="1" applyProtection="1">
      <alignment horizontal="center" vertical="center"/>
    </xf>
    <xf numFmtId="0" fontId="10" fillId="2" borderId="14" xfId="18" applyFont="1" applyFill="1" applyBorder="1" applyAlignment="1" applyProtection="1">
      <alignment horizontal="center" vertical="center" wrapText="1"/>
    </xf>
    <xf numFmtId="0" fontId="10" fillId="2" borderId="12" xfId="18" applyFont="1" applyFill="1" applyBorder="1" applyAlignment="1" applyProtection="1">
      <alignment horizontal="center" vertical="center" wrapText="1"/>
    </xf>
  </cellXfs>
  <cellStyles count="22">
    <cellStyle name="Euro" xfId="2"/>
    <cellStyle name="Гиперссылка 2" xfId="19"/>
    <cellStyle name="Обычный" xfId="0" builtinId="0"/>
    <cellStyle name="Обычный 2" xfId="1"/>
    <cellStyle name="Обычный 2 2" xfId="3"/>
    <cellStyle name="Обычный 2 2 2" xfId="4"/>
    <cellStyle name="Обычный 2 3" xfId="20"/>
    <cellStyle name="Обычный 3" xfId="5"/>
    <cellStyle name="Обычный 3 2" xfId="16"/>
    <cellStyle name="Обычный 4" xfId="6"/>
    <cellStyle name="Обычный 5" xfId="7"/>
    <cellStyle name="Обычный 6" xfId="15"/>
    <cellStyle name="Обычный 6 2" xfId="18"/>
    <cellStyle name="Процентный 2" xfId="8"/>
    <cellStyle name="Процентный 3" xfId="9"/>
    <cellStyle name="Процентный 4" xfId="10"/>
    <cellStyle name="Финансовый 2" xfId="11"/>
    <cellStyle name="Финансовый 2 2" xfId="12"/>
    <cellStyle name="Финансовый 2 3" xfId="21"/>
    <cellStyle name="Финансовый 3" xfId="13"/>
    <cellStyle name="Финансовый 3 2" xfId="14"/>
    <cellStyle name="Финансовый 4" xfId="17"/>
  </cellStyles>
  <dxfs count="6">
    <dxf>
      <font>
        <color theme="8" tint="-0.499984740745262"/>
      </font>
    </dxf>
    <dxf>
      <font>
        <color theme="8" tint="-0.499984740745262"/>
      </font>
    </dxf>
    <dxf>
      <font>
        <color theme="8" tint="-0.499984740745262"/>
      </font>
    </dxf>
    <dxf>
      <font>
        <color rgb="FFFF0000"/>
      </font>
    </dxf>
    <dxf>
      <font>
        <color theme="8" tint="-0.499984740745262"/>
      </font>
    </dxf>
    <dxf>
      <font>
        <color theme="8" tint="-0.49998474074526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2"/>
  <sheetViews>
    <sheetView tabSelected="1" view="pageBreakPreview" zoomScaleNormal="85" zoomScaleSheetLayoutView="100" workbookViewId="0">
      <pane ySplit="4" topLeftCell="A62" activePane="bottomLeft" state="frozen"/>
      <selection pane="bottomLeft" activeCell="H78" sqref="H78"/>
    </sheetView>
  </sheetViews>
  <sheetFormatPr defaultColWidth="8.85546875" defaultRowHeight="12"/>
  <cols>
    <col min="1" max="1" width="43.85546875" style="2" customWidth="1"/>
    <col min="2" max="2" width="11.85546875" style="2" customWidth="1"/>
    <col min="3" max="3" width="9.42578125" style="92" hidden="1" customWidth="1"/>
    <col min="4" max="4" width="5.140625" style="93" hidden="1" customWidth="1"/>
    <col min="5" max="5" width="6.28515625" style="94" hidden="1" customWidth="1"/>
    <col min="6" max="6" width="8.42578125" style="92" hidden="1" customWidth="1"/>
    <col min="7" max="7" width="10.85546875" style="2" hidden="1" customWidth="1"/>
    <col min="8" max="8" width="8.5703125" style="27" customWidth="1"/>
    <col min="9" max="9" width="8.7109375" style="27" customWidth="1"/>
    <col min="10" max="12" width="9.42578125" style="27" customWidth="1"/>
    <col min="13" max="13" width="9.7109375" style="27" customWidth="1"/>
    <col min="14" max="14" width="10.85546875" style="2" customWidth="1"/>
    <col min="15" max="15" width="7.140625" style="2" customWidth="1"/>
    <col min="16" max="254" width="8.85546875" style="2"/>
    <col min="255" max="255" width="50.28515625" style="2" customWidth="1"/>
    <col min="256" max="256" width="12.5703125" style="2" customWidth="1"/>
    <col min="257" max="261" width="0" style="2" hidden="1" customWidth="1"/>
    <col min="262" max="263" width="9.7109375" style="2" customWidth="1"/>
    <col min="264" max="265" width="10.7109375" style="2" customWidth="1"/>
    <col min="266" max="267" width="10.42578125" style="2" customWidth="1"/>
    <col min="268" max="268" width="7.140625" style="2" customWidth="1"/>
    <col min="269" max="269" width="12.28515625" style="2" customWidth="1"/>
    <col min="270" max="271" width="7.140625" style="2" customWidth="1"/>
    <col min="272" max="510" width="8.85546875" style="2"/>
    <col min="511" max="511" width="50.28515625" style="2" customWidth="1"/>
    <col min="512" max="512" width="12.5703125" style="2" customWidth="1"/>
    <col min="513" max="517" width="0" style="2" hidden="1" customWidth="1"/>
    <col min="518" max="519" width="9.7109375" style="2" customWidth="1"/>
    <col min="520" max="521" width="10.7109375" style="2" customWidth="1"/>
    <col min="522" max="523" width="10.42578125" style="2" customWidth="1"/>
    <col min="524" max="524" width="7.140625" style="2" customWidth="1"/>
    <col min="525" max="525" width="12.28515625" style="2" customWidth="1"/>
    <col min="526" max="527" width="7.140625" style="2" customWidth="1"/>
    <col min="528" max="766" width="8.85546875" style="2"/>
    <col min="767" max="767" width="50.28515625" style="2" customWidth="1"/>
    <col min="768" max="768" width="12.5703125" style="2" customWidth="1"/>
    <col min="769" max="773" width="0" style="2" hidden="1" customWidth="1"/>
    <col min="774" max="775" width="9.7109375" style="2" customWidth="1"/>
    <col min="776" max="777" width="10.7109375" style="2" customWidth="1"/>
    <col min="778" max="779" width="10.42578125" style="2" customWidth="1"/>
    <col min="780" max="780" width="7.140625" style="2" customWidth="1"/>
    <col min="781" max="781" width="12.28515625" style="2" customWidth="1"/>
    <col min="782" max="783" width="7.140625" style="2" customWidth="1"/>
    <col min="784" max="1022" width="8.85546875" style="2"/>
    <col min="1023" max="1023" width="50.28515625" style="2" customWidth="1"/>
    <col min="1024" max="1024" width="12.5703125" style="2" customWidth="1"/>
    <col min="1025" max="1029" width="0" style="2" hidden="1" customWidth="1"/>
    <col min="1030" max="1031" width="9.7109375" style="2" customWidth="1"/>
    <col min="1032" max="1033" width="10.7109375" style="2" customWidth="1"/>
    <col min="1034" max="1035" width="10.42578125" style="2" customWidth="1"/>
    <col min="1036" max="1036" width="7.140625" style="2" customWidth="1"/>
    <col min="1037" max="1037" width="12.28515625" style="2" customWidth="1"/>
    <col min="1038" max="1039" width="7.140625" style="2" customWidth="1"/>
    <col min="1040" max="1278" width="8.85546875" style="2"/>
    <col min="1279" max="1279" width="50.28515625" style="2" customWidth="1"/>
    <col min="1280" max="1280" width="12.5703125" style="2" customWidth="1"/>
    <col min="1281" max="1285" width="0" style="2" hidden="1" customWidth="1"/>
    <col min="1286" max="1287" width="9.7109375" style="2" customWidth="1"/>
    <col min="1288" max="1289" width="10.7109375" style="2" customWidth="1"/>
    <col min="1290" max="1291" width="10.42578125" style="2" customWidth="1"/>
    <col min="1292" max="1292" width="7.140625" style="2" customWidth="1"/>
    <col min="1293" max="1293" width="12.28515625" style="2" customWidth="1"/>
    <col min="1294" max="1295" width="7.140625" style="2" customWidth="1"/>
    <col min="1296" max="1534" width="8.85546875" style="2"/>
    <col min="1535" max="1535" width="50.28515625" style="2" customWidth="1"/>
    <col min="1536" max="1536" width="12.5703125" style="2" customWidth="1"/>
    <col min="1537" max="1541" width="0" style="2" hidden="1" customWidth="1"/>
    <col min="1542" max="1543" width="9.7109375" style="2" customWidth="1"/>
    <col min="1544" max="1545" width="10.7109375" style="2" customWidth="1"/>
    <col min="1546" max="1547" width="10.42578125" style="2" customWidth="1"/>
    <col min="1548" max="1548" width="7.140625" style="2" customWidth="1"/>
    <col min="1549" max="1549" width="12.28515625" style="2" customWidth="1"/>
    <col min="1550" max="1551" width="7.140625" style="2" customWidth="1"/>
    <col min="1552" max="1790" width="8.85546875" style="2"/>
    <col min="1791" max="1791" width="50.28515625" style="2" customWidth="1"/>
    <col min="1792" max="1792" width="12.5703125" style="2" customWidth="1"/>
    <col min="1793" max="1797" width="0" style="2" hidden="1" customWidth="1"/>
    <col min="1798" max="1799" width="9.7109375" style="2" customWidth="1"/>
    <col min="1800" max="1801" width="10.7109375" style="2" customWidth="1"/>
    <col min="1802" max="1803" width="10.42578125" style="2" customWidth="1"/>
    <col min="1804" max="1804" width="7.140625" style="2" customWidth="1"/>
    <col min="1805" max="1805" width="12.28515625" style="2" customWidth="1"/>
    <col min="1806" max="1807" width="7.140625" style="2" customWidth="1"/>
    <col min="1808" max="2046" width="8.85546875" style="2"/>
    <col min="2047" max="2047" width="50.28515625" style="2" customWidth="1"/>
    <col min="2048" max="2048" width="12.5703125" style="2" customWidth="1"/>
    <col min="2049" max="2053" width="0" style="2" hidden="1" customWidth="1"/>
    <col min="2054" max="2055" width="9.7109375" style="2" customWidth="1"/>
    <col min="2056" max="2057" width="10.7109375" style="2" customWidth="1"/>
    <col min="2058" max="2059" width="10.42578125" style="2" customWidth="1"/>
    <col min="2060" max="2060" width="7.140625" style="2" customWidth="1"/>
    <col min="2061" max="2061" width="12.28515625" style="2" customWidth="1"/>
    <col min="2062" max="2063" width="7.140625" style="2" customWidth="1"/>
    <col min="2064" max="2302" width="8.85546875" style="2"/>
    <col min="2303" max="2303" width="50.28515625" style="2" customWidth="1"/>
    <col min="2304" max="2304" width="12.5703125" style="2" customWidth="1"/>
    <col min="2305" max="2309" width="0" style="2" hidden="1" customWidth="1"/>
    <col min="2310" max="2311" width="9.7109375" style="2" customWidth="1"/>
    <col min="2312" max="2313" width="10.7109375" style="2" customWidth="1"/>
    <col min="2314" max="2315" width="10.42578125" style="2" customWidth="1"/>
    <col min="2316" max="2316" width="7.140625" style="2" customWidth="1"/>
    <col min="2317" max="2317" width="12.28515625" style="2" customWidth="1"/>
    <col min="2318" max="2319" width="7.140625" style="2" customWidth="1"/>
    <col min="2320" max="2558" width="8.85546875" style="2"/>
    <col min="2559" max="2559" width="50.28515625" style="2" customWidth="1"/>
    <col min="2560" max="2560" width="12.5703125" style="2" customWidth="1"/>
    <col min="2561" max="2565" width="0" style="2" hidden="1" customWidth="1"/>
    <col min="2566" max="2567" width="9.7109375" style="2" customWidth="1"/>
    <col min="2568" max="2569" width="10.7109375" style="2" customWidth="1"/>
    <col min="2570" max="2571" width="10.42578125" style="2" customWidth="1"/>
    <col min="2572" max="2572" width="7.140625" style="2" customWidth="1"/>
    <col min="2573" max="2573" width="12.28515625" style="2" customWidth="1"/>
    <col min="2574" max="2575" width="7.140625" style="2" customWidth="1"/>
    <col min="2576" max="2814" width="8.85546875" style="2"/>
    <col min="2815" max="2815" width="50.28515625" style="2" customWidth="1"/>
    <col min="2816" max="2816" width="12.5703125" style="2" customWidth="1"/>
    <col min="2817" max="2821" width="0" style="2" hidden="1" customWidth="1"/>
    <col min="2822" max="2823" width="9.7109375" style="2" customWidth="1"/>
    <col min="2824" max="2825" width="10.7109375" style="2" customWidth="1"/>
    <col min="2826" max="2827" width="10.42578125" style="2" customWidth="1"/>
    <col min="2828" max="2828" width="7.140625" style="2" customWidth="1"/>
    <col min="2829" max="2829" width="12.28515625" style="2" customWidth="1"/>
    <col min="2830" max="2831" width="7.140625" style="2" customWidth="1"/>
    <col min="2832" max="3070" width="8.85546875" style="2"/>
    <col min="3071" max="3071" width="50.28515625" style="2" customWidth="1"/>
    <col min="3072" max="3072" width="12.5703125" style="2" customWidth="1"/>
    <col min="3073" max="3077" width="0" style="2" hidden="1" customWidth="1"/>
    <col min="3078" max="3079" width="9.7109375" style="2" customWidth="1"/>
    <col min="3080" max="3081" width="10.7109375" style="2" customWidth="1"/>
    <col min="3082" max="3083" width="10.42578125" style="2" customWidth="1"/>
    <col min="3084" max="3084" width="7.140625" style="2" customWidth="1"/>
    <col min="3085" max="3085" width="12.28515625" style="2" customWidth="1"/>
    <col min="3086" max="3087" width="7.140625" style="2" customWidth="1"/>
    <col min="3088" max="3326" width="8.85546875" style="2"/>
    <col min="3327" max="3327" width="50.28515625" style="2" customWidth="1"/>
    <col min="3328" max="3328" width="12.5703125" style="2" customWidth="1"/>
    <col min="3329" max="3333" width="0" style="2" hidden="1" customWidth="1"/>
    <col min="3334" max="3335" width="9.7109375" style="2" customWidth="1"/>
    <col min="3336" max="3337" width="10.7109375" style="2" customWidth="1"/>
    <col min="3338" max="3339" width="10.42578125" style="2" customWidth="1"/>
    <col min="3340" max="3340" width="7.140625" style="2" customWidth="1"/>
    <col min="3341" max="3341" width="12.28515625" style="2" customWidth="1"/>
    <col min="3342" max="3343" width="7.140625" style="2" customWidth="1"/>
    <col min="3344" max="3582" width="8.85546875" style="2"/>
    <col min="3583" max="3583" width="50.28515625" style="2" customWidth="1"/>
    <col min="3584" max="3584" width="12.5703125" style="2" customWidth="1"/>
    <col min="3585" max="3589" width="0" style="2" hidden="1" customWidth="1"/>
    <col min="3590" max="3591" width="9.7109375" style="2" customWidth="1"/>
    <col min="3592" max="3593" width="10.7109375" style="2" customWidth="1"/>
    <col min="3594" max="3595" width="10.42578125" style="2" customWidth="1"/>
    <col min="3596" max="3596" width="7.140625" style="2" customWidth="1"/>
    <col min="3597" max="3597" width="12.28515625" style="2" customWidth="1"/>
    <col min="3598" max="3599" width="7.140625" style="2" customWidth="1"/>
    <col min="3600" max="3838" width="8.85546875" style="2"/>
    <col min="3839" max="3839" width="50.28515625" style="2" customWidth="1"/>
    <col min="3840" max="3840" width="12.5703125" style="2" customWidth="1"/>
    <col min="3841" max="3845" width="0" style="2" hidden="1" customWidth="1"/>
    <col min="3846" max="3847" width="9.7109375" style="2" customWidth="1"/>
    <col min="3848" max="3849" width="10.7109375" style="2" customWidth="1"/>
    <col min="3850" max="3851" width="10.42578125" style="2" customWidth="1"/>
    <col min="3852" max="3852" width="7.140625" style="2" customWidth="1"/>
    <col min="3853" max="3853" width="12.28515625" style="2" customWidth="1"/>
    <col min="3854" max="3855" width="7.140625" style="2" customWidth="1"/>
    <col min="3856" max="4094" width="8.85546875" style="2"/>
    <col min="4095" max="4095" width="50.28515625" style="2" customWidth="1"/>
    <col min="4096" max="4096" width="12.5703125" style="2" customWidth="1"/>
    <col min="4097" max="4101" width="0" style="2" hidden="1" customWidth="1"/>
    <col min="4102" max="4103" width="9.7109375" style="2" customWidth="1"/>
    <col min="4104" max="4105" width="10.7109375" style="2" customWidth="1"/>
    <col min="4106" max="4107" width="10.42578125" style="2" customWidth="1"/>
    <col min="4108" max="4108" width="7.140625" style="2" customWidth="1"/>
    <col min="4109" max="4109" width="12.28515625" style="2" customWidth="1"/>
    <col min="4110" max="4111" width="7.140625" style="2" customWidth="1"/>
    <col min="4112" max="4350" width="8.85546875" style="2"/>
    <col min="4351" max="4351" width="50.28515625" style="2" customWidth="1"/>
    <col min="4352" max="4352" width="12.5703125" style="2" customWidth="1"/>
    <col min="4353" max="4357" width="0" style="2" hidden="1" customWidth="1"/>
    <col min="4358" max="4359" width="9.7109375" style="2" customWidth="1"/>
    <col min="4360" max="4361" width="10.7109375" style="2" customWidth="1"/>
    <col min="4362" max="4363" width="10.42578125" style="2" customWidth="1"/>
    <col min="4364" max="4364" width="7.140625" style="2" customWidth="1"/>
    <col min="4365" max="4365" width="12.28515625" style="2" customWidth="1"/>
    <col min="4366" max="4367" width="7.140625" style="2" customWidth="1"/>
    <col min="4368" max="4606" width="8.85546875" style="2"/>
    <col min="4607" max="4607" width="50.28515625" style="2" customWidth="1"/>
    <col min="4608" max="4608" width="12.5703125" style="2" customWidth="1"/>
    <col min="4609" max="4613" width="0" style="2" hidden="1" customWidth="1"/>
    <col min="4614" max="4615" width="9.7109375" style="2" customWidth="1"/>
    <col min="4616" max="4617" width="10.7109375" style="2" customWidth="1"/>
    <col min="4618" max="4619" width="10.42578125" style="2" customWidth="1"/>
    <col min="4620" max="4620" width="7.140625" style="2" customWidth="1"/>
    <col min="4621" max="4621" width="12.28515625" style="2" customWidth="1"/>
    <col min="4622" max="4623" width="7.140625" style="2" customWidth="1"/>
    <col min="4624" max="4862" width="8.85546875" style="2"/>
    <col min="4863" max="4863" width="50.28515625" style="2" customWidth="1"/>
    <col min="4864" max="4864" width="12.5703125" style="2" customWidth="1"/>
    <col min="4865" max="4869" width="0" style="2" hidden="1" customWidth="1"/>
    <col min="4870" max="4871" width="9.7109375" style="2" customWidth="1"/>
    <col min="4872" max="4873" width="10.7109375" style="2" customWidth="1"/>
    <col min="4874" max="4875" width="10.42578125" style="2" customWidth="1"/>
    <col min="4876" max="4876" width="7.140625" style="2" customWidth="1"/>
    <col min="4877" max="4877" width="12.28515625" style="2" customWidth="1"/>
    <col min="4878" max="4879" width="7.140625" style="2" customWidth="1"/>
    <col min="4880" max="5118" width="8.85546875" style="2"/>
    <col min="5119" max="5119" width="50.28515625" style="2" customWidth="1"/>
    <col min="5120" max="5120" width="12.5703125" style="2" customWidth="1"/>
    <col min="5121" max="5125" width="0" style="2" hidden="1" customWidth="1"/>
    <col min="5126" max="5127" width="9.7109375" style="2" customWidth="1"/>
    <col min="5128" max="5129" width="10.7109375" style="2" customWidth="1"/>
    <col min="5130" max="5131" width="10.42578125" style="2" customWidth="1"/>
    <col min="5132" max="5132" width="7.140625" style="2" customWidth="1"/>
    <col min="5133" max="5133" width="12.28515625" style="2" customWidth="1"/>
    <col min="5134" max="5135" width="7.140625" style="2" customWidth="1"/>
    <col min="5136" max="5374" width="8.85546875" style="2"/>
    <col min="5375" max="5375" width="50.28515625" style="2" customWidth="1"/>
    <col min="5376" max="5376" width="12.5703125" style="2" customWidth="1"/>
    <col min="5377" max="5381" width="0" style="2" hidden="1" customWidth="1"/>
    <col min="5382" max="5383" width="9.7109375" style="2" customWidth="1"/>
    <col min="5384" max="5385" width="10.7109375" style="2" customWidth="1"/>
    <col min="5386" max="5387" width="10.42578125" style="2" customWidth="1"/>
    <col min="5388" max="5388" width="7.140625" style="2" customWidth="1"/>
    <col min="5389" max="5389" width="12.28515625" style="2" customWidth="1"/>
    <col min="5390" max="5391" width="7.140625" style="2" customWidth="1"/>
    <col min="5392" max="5630" width="8.85546875" style="2"/>
    <col min="5631" max="5631" width="50.28515625" style="2" customWidth="1"/>
    <col min="5632" max="5632" width="12.5703125" style="2" customWidth="1"/>
    <col min="5633" max="5637" width="0" style="2" hidden="1" customWidth="1"/>
    <col min="5638" max="5639" width="9.7109375" style="2" customWidth="1"/>
    <col min="5640" max="5641" width="10.7109375" style="2" customWidth="1"/>
    <col min="5642" max="5643" width="10.42578125" style="2" customWidth="1"/>
    <col min="5644" max="5644" width="7.140625" style="2" customWidth="1"/>
    <col min="5645" max="5645" width="12.28515625" style="2" customWidth="1"/>
    <col min="5646" max="5647" width="7.140625" style="2" customWidth="1"/>
    <col min="5648" max="5886" width="8.85546875" style="2"/>
    <col min="5887" max="5887" width="50.28515625" style="2" customWidth="1"/>
    <col min="5888" max="5888" width="12.5703125" style="2" customWidth="1"/>
    <col min="5889" max="5893" width="0" style="2" hidden="1" customWidth="1"/>
    <col min="5894" max="5895" width="9.7109375" style="2" customWidth="1"/>
    <col min="5896" max="5897" width="10.7109375" style="2" customWidth="1"/>
    <col min="5898" max="5899" width="10.42578125" style="2" customWidth="1"/>
    <col min="5900" max="5900" width="7.140625" style="2" customWidth="1"/>
    <col min="5901" max="5901" width="12.28515625" style="2" customWidth="1"/>
    <col min="5902" max="5903" width="7.140625" style="2" customWidth="1"/>
    <col min="5904" max="6142" width="8.85546875" style="2"/>
    <col min="6143" max="6143" width="50.28515625" style="2" customWidth="1"/>
    <col min="6144" max="6144" width="12.5703125" style="2" customWidth="1"/>
    <col min="6145" max="6149" width="0" style="2" hidden="1" customWidth="1"/>
    <col min="6150" max="6151" width="9.7109375" style="2" customWidth="1"/>
    <col min="6152" max="6153" width="10.7109375" style="2" customWidth="1"/>
    <col min="6154" max="6155" width="10.42578125" style="2" customWidth="1"/>
    <col min="6156" max="6156" width="7.140625" style="2" customWidth="1"/>
    <col min="6157" max="6157" width="12.28515625" style="2" customWidth="1"/>
    <col min="6158" max="6159" width="7.140625" style="2" customWidth="1"/>
    <col min="6160" max="6398" width="8.85546875" style="2"/>
    <col min="6399" max="6399" width="50.28515625" style="2" customWidth="1"/>
    <col min="6400" max="6400" width="12.5703125" style="2" customWidth="1"/>
    <col min="6401" max="6405" width="0" style="2" hidden="1" customWidth="1"/>
    <col min="6406" max="6407" width="9.7109375" style="2" customWidth="1"/>
    <col min="6408" max="6409" width="10.7109375" style="2" customWidth="1"/>
    <col min="6410" max="6411" width="10.42578125" style="2" customWidth="1"/>
    <col min="6412" max="6412" width="7.140625" style="2" customWidth="1"/>
    <col min="6413" max="6413" width="12.28515625" style="2" customWidth="1"/>
    <col min="6414" max="6415" width="7.140625" style="2" customWidth="1"/>
    <col min="6416" max="6654" width="8.85546875" style="2"/>
    <col min="6655" max="6655" width="50.28515625" style="2" customWidth="1"/>
    <col min="6656" max="6656" width="12.5703125" style="2" customWidth="1"/>
    <col min="6657" max="6661" width="0" style="2" hidden="1" customWidth="1"/>
    <col min="6662" max="6663" width="9.7109375" style="2" customWidth="1"/>
    <col min="6664" max="6665" width="10.7109375" style="2" customWidth="1"/>
    <col min="6666" max="6667" width="10.42578125" style="2" customWidth="1"/>
    <col min="6668" max="6668" width="7.140625" style="2" customWidth="1"/>
    <col min="6669" max="6669" width="12.28515625" style="2" customWidth="1"/>
    <col min="6670" max="6671" width="7.140625" style="2" customWidth="1"/>
    <col min="6672" max="6910" width="8.85546875" style="2"/>
    <col min="6911" max="6911" width="50.28515625" style="2" customWidth="1"/>
    <col min="6912" max="6912" width="12.5703125" style="2" customWidth="1"/>
    <col min="6913" max="6917" width="0" style="2" hidden="1" customWidth="1"/>
    <col min="6918" max="6919" width="9.7109375" style="2" customWidth="1"/>
    <col min="6920" max="6921" width="10.7109375" style="2" customWidth="1"/>
    <col min="6922" max="6923" width="10.42578125" style="2" customWidth="1"/>
    <col min="6924" max="6924" width="7.140625" style="2" customWidth="1"/>
    <col min="6925" max="6925" width="12.28515625" style="2" customWidth="1"/>
    <col min="6926" max="6927" width="7.140625" style="2" customWidth="1"/>
    <col min="6928" max="7166" width="8.85546875" style="2"/>
    <col min="7167" max="7167" width="50.28515625" style="2" customWidth="1"/>
    <col min="7168" max="7168" width="12.5703125" style="2" customWidth="1"/>
    <col min="7169" max="7173" width="0" style="2" hidden="1" customWidth="1"/>
    <col min="7174" max="7175" width="9.7109375" style="2" customWidth="1"/>
    <col min="7176" max="7177" width="10.7109375" style="2" customWidth="1"/>
    <col min="7178" max="7179" width="10.42578125" style="2" customWidth="1"/>
    <col min="7180" max="7180" width="7.140625" style="2" customWidth="1"/>
    <col min="7181" max="7181" width="12.28515625" style="2" customWidth="1"/>
    <col min="7182" max="7183" width="7.140625" style="2" customWidth="1"/>
    <col min="7184" max="7422" width="8.85546875" style="2"/>
    <col min="7423" max="7423" width="50.28515625" style="2" customWidth="1"/>
    <col min="7424" max="7424" width="12.5703125" style="2" customWidth="1"/>
    <col min="7425" max="7429" width="0" style="2" hidden="1" customWidth="1"/>
    <col min="7430" max="7431" width="9.7109375" style="2" customWidth="1"/>
    <col min="7432" max="7433" width="10.7109375" style="2" customWidth="1"/>
    <col min="7434" max="7435" width="10.42578125" style="2" customWidth="1"/>
    <col min="7436" max="7436" width="7.140625" style="2" customWidth="1"/>
    <col min="7437" max="7437" width="12.28515625" style="2" customWidth="1"/>
    <col min="7438" max="7439" width="7.140625" style="2" customWidth="1"/>
    <col min="7440" max="7678" width="8.85546875" style="2"/>
    <col min="7679" max="7679" width="50.28515625" style="2" customWidth="1"/>
    <col min="7680" max="7680" width="12.5703125" style="2" customWidth="1"/>
    <col min="7681" max="7685" width="0" style="2" hidden="1" customWidth="1"/>
    <col min="7686" max="7687" width="9.7109375" style="2" customWidth="1"/>
    <col min="7688" max="7689" width="10.7109375" style="2" customWidth="1"/>
    <col min="7690" max="7691" width="10.42578125" style="2" customWidth="1"/>
    <col min="7692" max="7692" width="7.140625" style="2" customWidth="1"/>
    <col min="7693" max="7693" width="12.28515625" style="2" customWidth="1"/>
    <col min="7694" max="7695" width="7.140625" style="2" customWidth="1"/>
    <col min="7696" max="7934" width="8.85546875" style="2"/>
    <col min="7935" max="7935" width="50.28515625" style="2" customWidth="1"/>
    <col min="7936" max="7936" width="12.5703125" style="2" customWidth="1"/>
    <col min="7937" max="7941" width="0" style="2" hidden="1" customWidth="1"/>
    <col min="7942" max="7943" width="9.7109375" style="2" customWidth="1"/>
    <col min="7944" max="7945" width="10.7109375" style="2" customWidth="1"/>
    <col min="7946" max="7947" width="10.42578125" style="2" customWidth="1"/>
    <col min="7948" max="7948" width="7.140625" style="2" customWidth="1"/>
    <col min="7949" max="7949" width="12.28515625" style="2" customWidth="1"/>
    <col min="7950" max="7951" width="7.140625" style="2" customWidth="1"/>
    <col min="7952" max="8190" width="8.85546875" style="2"/>
    <col min="8191" max="8191" width="50.28515625" style="2" customWidth="1"/>
    <col min="8192" max="8192" width="12.5703125" style="2" customWidth="1"/>
    <col min="8193" max="8197" width="0" style="2" hidden="1" customWidth="1"/>
    <col min="8198" max="8199" width="9.7109375" style="2" customWidth="1"/>
    <col min="8200" max="8201" width="10.7109375" style="2" customWidth="1"/>
    <col min="8202" max="8203" width="10.42578125" style="2" customWidth="1"/>
    <col min="8204" max="8204" width="7.140625" style="2" customWidth="1"/>
    <col min="8205" max="8205" width="12.28515625" style="2" customWidth="1"/>
    <col min="8206" max="8207" width="7.140625" style="2" customWidth="1"/>
    <col min="8208" max="8446" width="8.85546875" style="2"/>
    <col min="8447" max="8447" width="50.28515625" style="2" customWidth="1"/>
    <col min="8448" max="8448" width="12.5703125" style="2" customWidth="1"/>
    <col min="8449" max="8453" width="0" style="2" hidden="1" customWidth="1"/>
    <col min="8454" max="8455" width="9.7109375" style="2" customWidth="1"/>
    <col min="8456" max="8457" width="10.7109375" style="2" customWidth="1"/>
    <col min="8458" max="8459" width="10.42578125" style="2" customWidth="1"/>
    <col min="8460" max="8460" width="7.140625" style="2" customWidth="1"/>
    <col min="8461" max="8461" width="12.28515625" style="2" customWidth="1"/>
    <col min="8462" max="8463" width="7.140625" style="2" customWidth="1"/>
    <col min="8464" max="8702" width="8.85546875" style="2"/>
    <col min="8703" max="8703" width="50.28515625" style="2" customWidth="1"/>
    <col min="8704" max="8704" width="12.5703125" style="2" customWidth="1"/>
    <col min="8705" max="8709" width="0" style="2" hidden="1" customWidth="1"/>
    <col min="8710" max="8711" width="9.7109375" style="2" customWidth="1"/>
    <col min="8712" max="8713" width="10.7109375" style="2" customWidth="1"/>
    <col min="8714" max="8715" width="10.42578125" style="2" customWidth="1"/>
    <col min="8716" max="8716" width="7.140625" style="2" customWidth="1"/>
    <col min="8717" max="8717" width="12.28515625" style="2" customWidth="1"/>
    <col min="8718" max="8719" width="7.140625" style="2" customWidth="1"/>
    <col min="8720" max="8958" width="8.85546875" style="2"/>
    <col min="8959" max="8959" width="50.28515625" style="2" customWidth="1"/>
    <col min="8960" max="8960" width="12.5703125" style="2" customWidth="1"/>
    <col min="8961" max="8965" width="0" style="2" hidden="1" customWidth="1"/>
    <col min="8966" max="8967" width="9.7109375" style="2" customWidth="1"/>
    <col min="8968" max="8969" width="10.7109375" style="2" customWidth="1"/>
    <col min="8970" max="8971" width="10.42578125" style="2" customWidth="1"/>
    <col min="8972" max="8972" width="7.140625" style="2" customWidth="1"/>
    <col min="8973" max="8973" width="12.28515625" style="2" customWidth="1"/>
    <col min="8974" max="8975" width="7.140625" style="2" customWidth="1"/>
    <col min="8976" max="9214" width="8.85546875" style="2"/>
    <col min="9215" max="9215" width="50.28515625" style="2" customWidth="1"/>
    <col min="9216" max="9216" width="12.5703125" style="2" customWidth="1"/>
    <col min="9217" max="9221" width="0" style="2" hidden="1" customWidth="1"/>
    <col min="9222" max="9223" width="9.7109375" style="2" customWidth="1"/>
    <col min="9224" max="9225" width="10.7109375" style="2" customWidth="1"/>
    <col min="9226" max="9227" width="10.42578125" style="2" customWidth="1"/>
    <col min="9228" max="9228" width="7.140625" style="2" customWidth="1"/>
    <col min="9229" max="9229" width="12.28515625" style="2" customWidth="1"/>
    <col min="9230" max="9231" width="7.140625" style="2" customWidth="1"/>
    <col min="9232" max="9470" width="8.85546875" style="2"/>
    <col min="9471" max="9471" width="50.28515625" style="2" customWidth="1"/>
    <col min="9472" max="9472" width="12.5703125" style="2" customWidth="1"/>
    <col min="9473" max="9477" width="0" style="2" hidden="1" customWidth="1"/>
    <col min="9478" max="9479" width="9.7109375" style="2" customWidth="1"/>
    <col min="9480" max="9481" width="10.7109375" style="2" customWidth="1"/>
    <col min="9482" max="9483" width="10.42578125" style="2" customWidth="1"/>
    <col min="9484" max="9484" width="7.140625" style="2" customWidth="1"/>
    <col min="9485" max="9485" width="12.28515625" style="2" customWidth="1"/>
    <col min="9486" max="9487" width="7.140625" style="2" customWidth="1"/>
    <col min="9488" max="9726" width="8.85546875" style="2"/>
    <col min="9727" max="9727" width="50.28515625" style="2" customWidth="1"/>
    <col min="9728" max="9728" width="12.5703125" style="2" customWidth="1"/>
    <col min="9729" max="9733" width="0" style="2" hidden="1" customWidth="1"/>
    <col min="9734" max="9735" width="9.7109375" style="2" customWidth="1"/>
    <col min="9736" max="9737" width="10.7109375" style="2" customWidth="1"/>
    <col min="9738" max="9739" width="10.42578125" style="2" customWidth="1"/>
    <col min="9740" max="9740" width="7.140625" style="2" customWidth="1"/>
    <col min="9741" max="9741" width="12.28515625" style="2" customWidth="1"/>
    <col min="9742" max="9743" width="7.140625" style="2" customWidth="1"/>
    <col min="9744" max="9982" width="8.85546875" style="2"/>
    <col min="9983" max="9983" width="50.28515625" style="2" customWidth="1"/>
    <col min="9984" max="9984" width="12.5703125" style="2" customWidth="1"/>
    <col min="9985" max="9989" width="0" style="2" hidden="1" customWidth="1"/>
    <col min="9990" max="9991" width="9.7109375" style="2" customWidth="1"/>
    <col min="9992" max="9993" width="10.7109375" style="2" customWidth="1"/>
    <col min="9994" max="9995" width="10.42578125" style="2" customWidth="1"/>
    <col min="9996" max="9996" width="7.140625" style="2" customWidth="1"/>
    <col min="9997" max="9997" width="12.28515625" style="2" customWidth="1"/>
    <col min="9998" max="9999" width="7.140625" style="2" customWidth="1"/>
    <col min="10000" max="10238" width="8.85546875" style="2"/>
    <col min="10239" max="10239" width="50.28515625" style="2" customWidth="1"/>
    <col min="10240" max="10240" width="12.5703125" style="2" customWidth="1"/>
    <col min="10241" max="10245" width="0" style="2" hidden="1" customWidth="1"/>
    <col min="10246" max="10247" width="9.7109375" style="2" customWidth="1"/>
    <col min="10248" max="10249" width="10.7109375" style="2" customWidth="1"/>
    <col min="10250" max="10251" width="10.42578125" style="2" customWidth="1"/>
    <col min="10252" max="10252" width="7.140625" style="2" customWidth="1"/>
    <col min="10253" max="10253" width="12.28515625" style="2" customWidth="1"/>
    <col min="10254" max="10255" width="7.140625" style="2" customWidth="1"/>
    <col min="10256" max="10494" width="8.85546875" style="2"/>
    <col min="10495" max="10495" width="50.28515625" style="2" customWidth="1"/>
    <col min="10496" max="10496" width="12.5703125" style="2" customWidth="1"/>
    <col min="10497" max="10501" width="0" style="2" hidden="1" customWidth="1"/>
    <col min="10502" max="10503" width="9.7109375" style="2" customWidth="1"/>
    <col min="10504" max="10505" width="10.7109375" style="2" customWidth="1"/>
    <col min="10506" max="10507" width="10.42578125" style="2" customWidth="1"/>
    <col min="10508" max="10508" width="7.140625" style="2" customWidth="1"/>
    <col min="10509" max="10509" width="12.28515625" style="2" customWidth="1"/>
    <col min="10510" max="10511" width="7.140625" style="2" customWidth="1"/>
    <col min="10512" max="10750" width="8.85546875" style="2"/>
    <col min="10751" max="10751" width="50.28515625" style="2" customWidth="1"/>
    <col min="10752" max="10752" width="12.5703125" style="2" customWidth="1"/>
    <col min="10753" max="10757" width="0" style="2" hidden="1" customWidth="1"/>
    <col min="10758" max="10759" width="9.7109375" style="2" customWidth="1"/>
    <col min="10760" max="10761" width="10.7109375" style="2" customWidth="1"/>
    <col min="10762" max="10763" width="10.42578125" style="2" customWidth="1"/>
    <col min="10764" max="10764" width="7.140625" style="2" customWidth="1"/>
    <col min="10765" max="10765" width="12.28515625" style="2" customWidth="1"/>
    <col min="10766" max="10767" width="7.140625" style="2" customWidth="1"/>
    <col min="10768" max="11006" width="8.85546875" style="2"/>
    <col min="11007" max="11007" width="50.28515625" style="2" customWidth="1"/>
    <col min="11008" max="11008" width="12.5703125" style="2" customWidth="1"/>
    <col min="11009" max="11013" width="0" style="2" hidden="1" customWidth="1"/>
    <col min="11014" max="11015" width="9.7109375" style="2" customWidth="1"/>
    <col min="11016" max="11017" width="10.7109375" style="2" customWidth="1"/>
    <col min="11018" max="11019" width="10.42578125" style="2" customWidth="1"/>
    <col min="11020" max="11020" width="7.140625" style="2" customWidth="1"/>
    <col min="11021" max="11021" width="12.28515625" style="2" customWidth="1"/>
    <col min="11022" max="11023" width="7.140625" style="2" customWidth="1"/>
    <col min="11024" max="11262" width="8.85546875" style="2"/>
    <col min="11263" max="11263" width="50.28515625" style="2" customWidth="1"/>
    <col min="11264" max="11264" width="12.5703125" style="2" customWidth="1"/>
    <col min="11265" max="11269" width="0" style="2" hidden="1" customWidth="1"/>
    <col min="11270" max="11271" width="9.7109375" style="2" customWidth="1"/>
    <col min="11272" max="11273" width="10.7109375" style="2" customWidth="1"/>
    <col min="11274" max="11275" width="10.42578125" style="2" customWidth="1"/>
    <col min="11276" max="11276" width="7.140625" style="2" customWidth="1"/>
    <col min="11277" max="11277" width="12.28515625" style="2" customWidth="1"/>
    <col min="11278" max="11279" width="7.140625" style="2" customWidth="1"/>
    <col min="11280" max="11518" width="8.85546875" style="2"/>
    <col min="11519" max="11519" width="50.28515625" style="2" customWidth="1"/>
    <col min="11520" max="11520" width="12.5703125" style="2" customWidth="1"/>
    <col min="11521" max="11525" width="0" style="2" hidden="1" customWidth="1"/>
    <col min="11526" max="11527" width="9.7109375" style="2" customWidth="1"/>
    <col min="11528" max="11529" width="10.7109375" style="2" customWidth="1"/>
    <col min="11530" max="11531" width="10.42578125" style="2" customWidth="1"/>
    <col min="11532" max="11532" width="7.140625" style="2" customWidth="1"/>
    <col min="11533" max="11533" width="12.28515625" style="2" customWidth="1"/>
    <col min="11534" max="11535" width="7.140625" style="2" customWidth="1"/>
    <col min="11536" max="11774" width="8.85546875" style="2"/>
    <col min="11775" max="11775" width="50.28515625" style="2" customWidth="1"/>
    <col min="11776" max="11776" width="12.5703125" style="2" customWidth="1"/>
    <col min="11777" max="11781" width="0" style="2" hidden="1" customWidth="1"/>
    <col min="11782" max="11783" width="9.7109375" style="2" customWidth="1"/>
    <col min="11784" max="11785" width="10.7109375" style="2" customWidth="1"/>
    <col min="11786" max="11787" width="10.42578125" style="2" customWidth="1"/>
    <col min="11788" max="11788" width="7.140625" style="2" customWidth="1"/>
    <col min="11789" max="11789" width="12.28515625" style="2" customWidth="1"/>
    <col min="11790" max="11791" width="7.140625" style="2" customWidth="1"/>
    <col min="11792" max="12030" width="8.85546875" style="2"/>
    <col min="12031" max="12031" width="50.28515625" style="2" customWidth="1"/>
    <col min="12032" max="12032" width="12.5703125" style="2" customWidth="1"/>
    <col min="12033" max="12037" width="0" style="2" hidden="1" customWidth="1"/>
    <col min="12038" max="12039" width="9.7109375" style="2" customWidth="1"/>
    <col min="12040" max="12041" width="10.7109375" style="2" customWidth="1"/>
    <col min="12042" max="12043" width="10.42578125" style="2" customWidth="1"/>
    <col min="12044" max="12044" width="7.140625" style="2" customWidth="1"/>
    <col min="12045" max="12045" width="12.28515625" style="2" customWidth="1"/>
    <col min="12046" max="12047" width="7.140625" style="2" customWidth="1"/>
    <col min="12048" max="12286" width="8.85546875" style="2"/>
    <col min="12287" max="12287" width="50.28515625" style="2" customWidth="1"/>
    <col min="12288" max="12288" width="12.5703125" style="2" customWidth="1"/>
    <col min="12289" max="12293" width="0" style="2" hidden="1" customWidth="1"/>
    <col min="12294" max="12295" width="9.7109375" style="2" customWidth="1"/>
    <col min="12296" max="12297" width="10.7109375" style="2" customWidth="1"/>
    <col min="12298" max="12299" width="10.42578125" style="2" customWidth="1"/>
    <col min="12300" max="12300" width="7.140625" style="2" customWidth="1"/>
    <col min="12301" max="12301" width="12.28515625" style="2" customWidth="1"/>
    <col min="12302" max="12303" width="7.140625" style="2" customWidth="1"/>
    <col min="12304" max="12542" width="8.85546875" style="2"/>
    <col min="12543" max="12543" width="50.28515625" style="2" customWidth="1"/>
    <col min="12544" max="12544" width="12.5703125" style="2" customWidth="1"/>
    <col min="12545" max="12549" width="0" style="2" hidden="1" customWidth="1"/>
    <col min="12550" max="12551" width="9.7109375" style="2" customWidth="1"/>
    <col min="12552" max="12553" width="10.7109375" style="2" customWidth="1"/>
    <col min="12554" max="12555" width="10.42578125" style="2" customWidth="1"/>
    <col min="12556" max="12556" width="7.140625" style="2" customWidth="1"/>
    <col min="12557" max="12557" width="12.28515625" style="2" customWidth="1"/>
    <col min="12558" max="12559" width="7.140625" style="2" customWidth="1"/>
    <col min="12560" max="12798" width="8.85546875" style="2"/>
    <col min="12799" max="12799" width="50.28515625" style="2" customWidth="1"/>
    <col min="12800" max="12800" width="12.5703125" style="2" customWidth="1"/>
    <col min="12801" max="12805" width="0" style="2" hidden="1" customWidth="1"/>
    <col min="12806" max="12807" width="9.7109375" style="2" customWidth="1"/>
    <col min="12808" max="12809" width="10.7109375" style="2" customWidth="1"/>
    <col min="12810" max="12811" width="10.42578125" style="2" customWidth="1"/>
    <col min="12812" max="12812" width="7.140625" style="2" customWidth="1"/>
    <col min="12813" max="12813" width="12.28515625" style="2" customWidth="1"/>
    <col min="12814" max="12815" width="7.140625" style="2" customWidth="1"/>
    <col min="12816" max="13054" width="8.85546875" style="2"/>
    <col min="13055" max="13055" width="50.28515625" style="2" customWidth="1"/>
    <col min="13056" max="13056" width="12.5703125" style="2" customWidth="1"/>
    <col min="13057" max="13061" width="0" style="2" hidden="1" customWidth="1"/>
    <col min="13062" max="13063" width="9.7109375" style="2" customWidth="1"/>
    <col min="13064" max="13065" width="10.7109375" style="2" customWidth="1"/>
    <col min="13066" max="13067" width="10.42578125" style="2" customWidth="1"/>
    <col min="13068" max="13068" width="7.140625" style="2" customWidth="1"/>
    <col min="13069" max="13069" width="12.28515625" style="2" customWidth="1"/>
    <col min="13070" max="13071" width="7.140625" style="2" customWidth="1"/>
    <col min="13072" max="13310" width="8.85546875" style="2"/>
    <col min="13311" max="13311" width="50.28515625" style="2" customWidth="1"/>
    <col min="13312" max="13312" width="12.5703125" style="2" customWidth="1"/>
    <col min="13313" max="13317" width="0" style="2" hidden="1" customWidth="1"/>
    <col min="13318" max="13319" width="9.7109375" style="2" customWidth="1"/>
    <col min="13320" max="13321" width="10.7109375" style="2" customWidth="1"/>
    <col min="13322" max="13323" width="10.42578125" style="2" customWidth="1"/>
    <col min="13324" max="13324" width="7.140625" style="2" customWidth="1"/>
    <col min="13325" max="13325" width="12.28515625" style="2" customWidth="1"/>
    <col min="13326" max="13327" width="7.140625" style="2" customWidth="1"/>
    <col min="13328" max="13566" width="8.85546875" style="2"/>
    <col min="13567" max="13567" width="50.28515625" style="2" customWidth="1"/>
    <col min="13568" max="13568" width="12.5703125" style="2" customWidth="1"/>
    <col min="13569" max="13573" width="0" style="2" hidden="1" customWidth="1"/>
    <col min="13574" max="13575" width="9.7109375" style="2" customWidth="1"/>
    <col min="13576" max="13577" width="10.7109375" style="2" customWidth="1"/>
    <col min="13578" max="13579" width="10.42578125" style="2" customWidth="1"/>
    <col min="13580" max="13580" width="7.140625" style="2" customWidth="1"/>
    <col min="13581" max="13581" width="12.28515625" style="2" customWidth="1"/>
    <col min="13582" max="13583" width="7.140625" style="2" customWidth="1"/>
    <col min="13584" max="13822" width="8.85546875" style="2"/>
    <col min="13823" max="13823" width="50.28515625" style="2" customWidth="1"/>
    <col min="13824" max="13824" width="12.5703125" style="2" customWidth="1"/>
    <col min="13825" max="13829" width="0" style="2" hidden="1" customWidth="1"/>
    <col min="13830" max="13831" width="9.7109375" style="2" customWidth="1"/>
    <col min="13832" max="13833" width="10.7109375" style="2" customWidth="1"/>
    <col min="13834" max="13835" width="10.42578125" style="2" customWidth="1"/>
    <col min="13836" max="13836" width="7.140625" style="2" customWidth="1"/>
    <col min="13837" max="13837" width="12.28515625" style="2" customWidth="1"/>
    <col min="13838" max="13839" width="7.140625" style="2" customWidth="1"/>
    <col min="13840" max="14078" width="8.85546875" style="2"/>
    <col min="14079" max="14079" width="50.28515625" style="2" customWidth="1"/>
    <col min="14080" max="14080" width="12.5703125" style="2" customWidth="1"/>
    <col min="14081" max="14085" width="0" style="2" hidden="1" customWidth="1"/>
    <col min="14086" max="14087" width="9.7109375" style="2" customWidth="1"/>
    <col min="14088" max="14089" width="10.7109375" style="2" customWidth="1"/>
    <col min="14090" max="14091" width="10.42578125" style="2" customWidth="1"/>
    <col min="14092" max="14092" width="7.140625" style="2" customWidth="1"/>
    <col min="14093" max="14093" width="12.28515625" style="2" customWidth="1"/>
    <col min="14094" max="14095" width="7.140625" style="2" customWidth="1"/>
    <col min="14096" max="14334" width="8.85546875" style="2"/>
    <col min="14335" max="14335" width="50.28515625" style="2" customWidth="1"/>
    <col min="14336" max="14336" width="12.5703125" style="2" customWidth="1"/>
    <col min="14337" max="14341" width="0" style="2" hidden="1" customWidth="1"/>
    <col min="14342" max="14343" width="9.7109375" style="2" customWidth="1"/>
    <col min="14344" max="14345" width="10.7109375" style="2" customWidth="1"/>
    <col min="14346" max="14347" width="10.42578125" style="2" customWidth="1"/>
    <col min="14348" max="14348" width="7.140625" style="2" customWidth="1"/>
    <col min="14349" max="14349" width="12.28515625" style="2" customWidth="1"/>
    <col min="14350" max="14351" width="7.140625" style="2" customWidth="1"/>
    <col min="14352" max="14590" width="8.85546875" style="2"/>
    <col min="14591" max="14591" width="50.28515625" style="2" customWidth="1"/>
    <col min="14592" max="14592" width="12.5703125" style="2" customWidth="1"/>
    <col min="14593" max="14597" width="0" style="2" hidden="1" customWidth="1"/>
    <col min="14598" max="14599" width="9.7109375" style="2" customWidth="1"/>
    <col min="14600" max="14601" width="10.7109375" style="2" customWidth="1"/>
    <col min="14602" max="14603" width="10.42578125" style="2" customWidth="1"/>
    <col min="14604" max="14604" width="7.140625" style="2" customWidth="1"/>
    <col min="14605" max="14605" width="12.28515625" style="2" customWidth="1"/>
    <col min="14606" max="14607" width="7.140625" style="2" customWidth="1"/>
    <col min="14608" max="14846" width="8.85546875" style="2"/>
    <col min="14847" max="14847" width="50.28515625" style="2" customWidth="1"/>
    <col min="14848" max="14848" width="12.5703125" style="2" customWidth="1"/>
    <col min="14849" max="14853" width="0" style="2" hidden="1" customWidth="1"/>
    <col min="14854" max="14855" width="9.7109375" style="2" customWidth="1"/>
    <col min="14856" max="14857" width="10.7109375" style="2" customWidth="1"/>
    <col min="14858" max="14859" width="10.42578125" style="2" customWidth="1"/>
    <col min="14860" max="14860" width="7.140625" style="2" customWidth="1"/>
    <col min="14861" max="14861" width="12.28515625" style="2" customWidth="1"/>
    <col min="14862" max="14863" width="7.140625" style="2" customWidth="1"/>
    <col min="14864" max="15102" width="8.85546875" style="2"/>
    <col min="15103" max="15103" width="50.28515625" style="2" customWidth="1"/>
    <col min="15104" max="15104" width="12.5703125" style="2" customWidth="1"/>
    <col min="15105" max="15109" width="0" style="2" hidden="1" customWidth="1"/>
    <col min="15110" max="15111" width="9.7109375" style="2" customWidth="1"/>
    <col min="15112" max="15113" width="10.7109375" style="2" customWidth="1"/>
    <col min="15114" max="15115" width="10.42578125" style="2" customWidth="1"/>
    <col min="15116" max="15116" width="7.140625" style="2" customWidth="1"/>
    <col min="15117" max="15117" width="12.28515625" style="2" customWidth="1"/>
    <col min="15118" max="15119" width="7.140625" style="2" customWidth="1"/>
    <col min="15120" max="15358" width="8.85546875" style="2"/>
    <col min="15359" max="15359" width="50.28515625" style="2" customWidth="1"/>
    <col min="15360" max="15360" width="12.5703125" style="2" customWidth="1"/>
    <col min="15361" max="15365" width="0" style="2" hidden="1" customWidth="1"/>
    <col min="15366" max="15367" width="9.7109375" style="2" customWidth="1"/>
    <col min="15368" max="15369" width="10.7109375" style="2" customWidth="1"/>
    <col min="15370" max="15371" width="10.42578125" style="2" customWidth="1"/>
    <col min="15372" max="15372" width="7.140625" style="2" customWidth="1"/>
    <col min="15373" max="15373" width="12.28515625" style="2" customWidth="1"/>
    <col min="15374" max="15375" width="7.140625" style="2" customWidth="1"/>
    <col min="15376" max="15614" width="8.85546875" style="2"/>
    <col min="15615" max="15615" width="50.28515625" style="2" customWidth="1"/>
    <col min="15616" max="15616" width="12.5703125" style="2" customWidth="1"/>
    <col min="15617" max="15621" width="0" style="2" hidden="1" customWidth="1"/>
    <col min="15622" max="15623" width="9.7109375" style="2" customWidth="1"/>
    <col min="15624" max="15625" width="10.7109375" style="2" customWidth="1"/>
    <col min="15626" max="15627" width="10.42578125" style="2" customWidth="1"/>
    <col min="15628" max="15628" width="7.140625" style="2" customWidth="1"/>
    <col min="15629" max="15629" width="12.28515625" style="2" customWidth="1"/>
    <col min="15630" max="15631" width="7.140625" style="2" customWidth="1"/>
    <col min="15632" max="15870" width="8.85546875" style="2"/>
    <col min="15871" max="15871" width="50.28515625" style="2" customWidth="1"/>
    <col min="15872" max="15872" width="12.5703125" style="2" customWidth="1"/>
    <col min="15873" max="15877" width="0" style="2" hidden="1" customWidth="1"/>
    <col min="15878" max="15879" width="9.7109375" style="2" customWidth="1"/>
    <col min="15880" max="15881" width="10.7109375" style="2" customWidth="1"/>
    <col min="15882" max="15883" width="10.42578125" style="2" customWidth="1"/>
    <col min="15884" max="15884" width="7.140625" style="2" customWidth="1"/>
    <col min="15885" max="15885" width="12.28515625" style="2" customWidth="1"/>
    <col min="15886" max="15887" width="7.140625" style="2" customWidth="1"/>
    <col min="15888" max="16126" width="8.85546875" style="2"/>
    <col min="16127" max="16127" width="50.28515625" style="2" customWidth="1"/>
    <col min="16128" max="16128" width="12.5703125" style="2" customWidth="1"/>
    <col min="16129" max="16133" width="0" style="2" hidden="1" customWidth="1"/>
    <col min="16134" max="16135" width="9.7109375" style="2" customWidth="1"/>
    <col min="16136" max="16137" width="10.7109375" style="2" customWidth="1"/>
    <col min="16138" max="16139" width="10.42578125" style="2" customWidth="1"/>
    <col min="16140" max="16140" width="7.140625" style="2" customWidth="1"/>
    <col min="16141" max="16141" width="12.28515625" style="2" customWidth="1"/>
    <col min="16142" max="16143" width="7.140625" style="2" customWidth="1"/>
    <col min="16144" max="16384" width="8.85546875" style="2"/>
  </cols>
  <sheetData>
    <row r="1" spans="1:14" ht="35.25" customHeight="1">
      <c r="A1" s="138" t="s">
        <v>205</v>
      </c>
      <c r="B1" s="138"/>
      <c r="C1" s="138"/>
      <c r="D1" s="138"/>
      <c r="E1" s="138"/>
      <c r="F1" s="138"/>
      <c r="G1" s="138"/>
      <c r="H1" s="138"/>
      <c r="I1" s="138"/>
      <c r="J1" s="138"/>
      <c r="K1" s="139"/>
      <c r="L1" s="138"/>
      <c r="M1" s="138"/>
      <c r="N1" s="138"/>
    </row>
    <row r="2" spans="1:14" ht="31.5">
      <c r="A2" s="140" t="s">
        <v>1</v>
      </c>
      <c r="B2" s="143" t="s">
        <v>2</v>
      </c>
      <c r="C2" s="3" t="s">
        <v>3</v>
      </c>
      <c r="D2" s="4" t="s">
        <v>4</v>
      </c>
      <c r="E2" s="5" t="s">
        <v>5</v>
      </c>
      <c r="F2" s="4" t="s">
        <v>6</v>
      </c>
      <c r="G2" s="6" t="s">
        <v>7</v>
      </c>
      <c r="H2" s="146" t="s">
        <v>7</v>
      </c>
      <c r="I2" s="147"/>
      <c r="J2" s="147"/>
      <c r="K2" s="148" t="s">
        <v>203</v>
      </c>
      <c r="L2" s="151" t="s">
        <v>8</v>
      </c>
      <c r="M2" s="152"/>
      <c r="N2" s="152"/>
    </row>
    <row r="3" spans="1:14">
      <c r="A3" s="141"/>
      <c r="B3" s="144"/>
      <c r="C3" s="7"/>
      <c r="D3" s="8"/>
      <c r="E3" s="9"/>
      <c r="F3" s="7"/>
      <c r="G3" s="140">
        <v>2011</v>
      </c>
      <c r="H3" s="153">
        <v>2016</v>
      </c>
      <c r="I3" s="155">
        <v>2017</v>
      </c>
      <c r="J3" s="156">
        <v>2018</v>
      </c>
      <c r="K3" s="149"/>
      <c r="L3" s="135">
        <v>2020</v>
      </c>
      <c r="M3" s="136">
        <v>2021</v>
      </c>
      <c r="N3" s="136">
        <v>2022</v>
      </c>
    </row>
    <row r="4" spans="1:14">
      <c r="A4" s="142"/>
      <c r="B4" s="145"/>
      <c r="C4" s="7"/>
      <c r="D4" s="8"/>
      <c r="E4" s="9"/>
      <c r="F4" s="7"/>
      <c r="G4" s="142"/>
      <c r="H4" s="154"/>
      <c r="I4" s="155"/>
      <c r="J4" s="157"/>
      <c r="K4" s="150"/>
      <c r="L4" s="135"/>
      <c r="M4" s="136"/>
      <c r="N4" s="136"/>
    </row>
    <row r="5" spans="1:14">
      <c r="A5" s="120"/>
      <c r="B5" s="121"/>
      <c r="C5" s="7"/>
      <c r="D5" s="8"/>
      <c r="E5" s="9"/>
      <c r="F5" s="7"/>
      <c r="G5" s="120"/>
      <c r="H5" s="123"/>
      <c r="I5" s="124"/>
      <c r="J5" s="122"/>
      <c r="K5" s="122"/>
      <c r="L5" s="119"/>
      <c r="M5" s="125"/>
      <c r="N5" s="125"/>
    </row>
    <row r="6" spans="1:14" ht="15">
      <c r="A6" s="10" t="s">
        <v>9</v>
      </c>
      <c r="B6" s="11"/>
      <c r="C6" s="12"/>
      <c r="D6" s="13"/>
      <c r="E6" s="13"/>
      <c r="F6" s="13"/>
      <c r="G6" s="14"/>
      <c r="H6" s="110"/>
      <c r="I6" s="111"/>
      <c r="J6" s="111"/>
      <c r="K6" s="110"/>
      <c r="L6" s="112"/>
      <c r="M6" s="111"/>
      <c r="N6" s="113"/>
    </row>
    <row r="7" spans="1:14" ht="21.6" customHeight="1">
      <c r="A7" s="15" t="s">
        <v>10</v>
      </c>
      <c r="B7" s="16" t="s">
        <v>11</v>
      </c>
      <c r="C7" s="17">
        <v>1</v>
      </c>
      <c r="D7" s="18"/>
      <c r="E7" s="18"/>
      <c r="F7" s="18"/>
      <c r="G7" s="19">
        <v>63.08</v>
      </c>
      <c r="H7" s="21">
        <v>69.501999999999995</v>
      </c>
      <c r="I7" s="21">
        <v>70.483999999999995</v>
      </c>
      <c r="J7" s="21">
        <v>71.31</v>
      </c>
      <c r="K7" s="21">
        <f>J7+0.9</f>
        <v>72.210000000000008</v>
      </c>
      <c r="L7" s="32">
        <f>K7+0.9</f>
        <v>73.110000000000014</v>
      </c>
      <c r="M7" s="32">
        <f>L7+0.93</f>
        <v>74.04000000000002</v>
      </c>
      <c r="N7" s="32">
        <f>M7+0.98</f>
        <v>75.020000000000024</v>
      </c>
    </row>
    <row r="8" spans="1:14" ht="15" customHeight="1">
      <c r="A8" s="15" t="s">
        <v>12</v>
      </c>
      <c r="B8" s="22" t="s">
        <v>13</v>
      </c>
      <c r="C8" s="17"/>
      <c r="D8" s="18"/>
      <c r="E8" s="18"/>
      <c r="F8" s="18"/>
      <c r="G8" s="19"/>
      <c r="H8" s="23">
        <v>101.58</v>
      </c>
      <c r="I8" s="23">
        <f t="shared" ref="I8:N8" si="0">I7/H7*100</f>
        <v>101.41290898103652</v>
      </c>
      <c r="J8" s="23">
        <f t="shared" si="0"/>
        <v>101.17189716815165</v>
      </c>
      <c r="K8" s="23">
        <f t="shared" si="0"/>
        <v>101.2620950778292</v>
      </c>
      <c r="L8" s="23">
        <f t="shared" si="0"/>
        <v>101.24636476942253</v>
      </c>
      <c r="M8" s="23">
        <f t="shared" si="0"/>
        <v>101.27205580631926</v>
      </c>
      <c r="N8" s="23">
        <f t="shared" si="0"/>
        <v>101.32360886007564</v>
      </c>
    </row>
    <row r="9" spans="1:14" ht="15" customHeight="1">
      <c r="A9" s="15" t="s">
        <v>14</v>
      </c>
      <c r="B9" s="22" t="s">
        <v>13</v>
      </c>
      <c r="C9" s="17"/>
      <c r="D9" s="18"/>
      <c r="E9" s="18"/>
      <c r="F9" s="18"/>
      <c r="G9" s="19"/>
      <c r="H9" s="21"/>
      <c r="I9" s="21"/>
      <c r="J9" s="21"/>
      <c r="K9" s="21"/>
      <c r="L9" s="103"/>
      <c r="M9" s="21"/>
      <c r="N9" s="32"/>
    </row>
    <row r="10" spans="1:14" ht="15">
      <c r="A10" s="24" t="s">
        <v>15</v>
      </c>
      <c r="B10" s="22"/>
      <c r="C10" s="17"/>
      <c r="D10" s="18"/>
      <c r="E10" s="18"/>
      <c r="F10" s="18"/>
      <c r="G10" s="25"/>
      <c r="H10" s="21"/>
      <c r="I10" s="21"/>
      <c r="J10" s="21"/>
      <c r="K10" s="21"/>
      <c r="L10" s="103"/>
      <c r="M10" s="21">
        <f>0.9+0.93+0.98</f>
        <v>2.81</v>
      </c>
      <c r="N10" s="32">
        <f>N7-L7</f>
        <v>1.9100000000000108</v>
      </c>
    </row>
    <row r="11" spans="1:14" ht="18" customHeight="1">
      <c r="A11" s="26" t="s">
        <v>16</v>
      </c>
      <c r="B11" s="27"/>
      <c r="C11" s="17"/>
      <c r="D11" s="18"/>
      <c r="E11" s="18"/>
      <c r="F11" s="18"/>
      <c r="G11" s="27"/>
      <c r="H11" s="28"/>
      <c r="I11" s="28"/>
      <c r="J11" s="28"/>
      <c r="K11" s="28"/>
      <c r="L11" s="28"/>
      <c r="M11" s="32">
        <f>N7-K7</f>
        <v>2.8100000000000165</v>
      </c>
      <c r="N11" s="44"/>
    </row>
    <row r="12" spans="1:14" ht="24">
      <c r="A12" s="29" t="s">
        <v>17</v>
      </c>
      <c r="B12" s="16" t="s">
        <v>18</v>
      </c>
      <c r="C12" s="17"/>
      <c r="D12" s="18"/>
      <c r="E12" s="18"/>
      <c r="F12" s="18"/>
      <c r="G12" s="19"/>
      <c r="H12" s="21"/>
      <c r="I12" s="21"/>
      <c r="J12" s="21"/>
      <c r="K12" s="21"/>
      <c r="L12" s="103"/>
      <c r="M12" s="21"/>
      <c r="N12" s="44"/>
    </row>
    <row r="13" spans="1:14" ht="12.75">
      <c r="A13" s="15" t="s">
        <v>12</v>
      </c>
      <c r="B13" s="22" t="s">
        <v>13</v>
      </c>
      <c r="C13" s="17"/>
      <c r="D13" s="18"/>
      <c r="E13" s="18"/>
      <c r="F13" s="18"/>
      <c r="G13" s="19"/>
      <c r="H13" s="21"/>
      <c r="I13" s="21"/>
      <c r="J13" s="21"/>
      <c r="K13" s="21"/>
      <c r="L13" s="103"/>
      <c r="M13" s="21"/>
      <c r="N13" s="44"/>
    </row>
    <row r="14" spans="1:14" ht="12.75">
      <c r="A14" s="15" t="s">
        <v>14</v>
      </c>
      <c r="B14" s="22" t="s">
        <v>13</v>
      </c>
      <c r="C14" s="17"/>
      <c r="D14" s="18"/>
      <c r="E14" s="18"/>
      <c r="F14" s="18"/>
      <c r="G14" s="19"/>
      <c r="H14" s="21"/>
      <c r="I14" s="21"/>
      <c r="J14" s="21"/>
      <c r="K14" s="21"/>
      <c r="L14" s="103"/>
      <c r="M14" s="21"/>
      <c r="N14" s="44"/>
    </row>
    <row r="15" spans="1:14" ht="14.25">
      <c r="A15" s="30" t="s">
        <v>19</v>
      </c>
      <c r="B15" s="22"/>
      <c r="C15" s="17"/>
      <c r="D15" s="18"/>
      <c r="E15" s="18"/>
      <c r="F15" s="18"/>
      <c r="G15" s="19"/>
      <c r="H15" s="21"/>
      <c r="I15" s="21"/>
      <c r="J15" s="21"/>
      <c r="K15" s="21"/>
      <c r="L15" s="103"/>
      <c r="M15" s="21"/>
      <c r="N15" s="44"/>
    </row>
    <row r="16" spans="1:14" ht="29.25" customHeight="1">
      <c r="A16" s="15" t="s">
        <v>20</v>
      </c>
      <c r="B16" s="22" t="s">
        <v>21</v>
      </c>
      <c r="C16" s="17">
        <v>1</v>
      </c>
      <c r="D16" s="18"/>
      <c r="E16" s="18"/>
      <c r="F16" s="18"/>
      <c r="G16" s="19"/>
      <c r="H16" s="21"/>
      <c r="I16" s="21"/>
      <c r="J16" s="21"/>
      <c r="K16" s="21"/>
      <c r="L16" s="103"/>
      <c r="M16" s="21"/>
      <c r="N16" s="44"/>
    </row>
    <row r="17" spans="1:14" ht="14.25">
      <c r="A17" s="30" t="s">
        <v>22</v>
      </c>
      <c r="B17" s="22"/>
      <c r="C17" s="17"/>
      <c r="D17" s="31"/>
      <c r="E17" s="31"/>
      <c r="F17" s="31"/>
      <c r="G17" s="32"/>
      <c r="H17" s="21"/>
      <c r="I17" s="21"/>
      <c r="J17" s="21"/>
      <c r="K17" s="21"/>
      <c r="L17" s="103"/>
      <c r="M17" s="21"/>
      <c r="N17" s="44"/>
    </row>
    <row r="18" spans="1:14" ht="14.25">
      <c r="A18" s="33" t="s">
        <v>23</v>
      </c>
      <c r="B18" s="34"/>
      <c r="C18" s="17"/>
      <c r="D18" s="31"/>
      <c r="E18" s="31"/>
      <c r="F18" s="31"/>
      <c r="G18" s="35"/>
      <c r="H18" s="21"/>
      <c r="I18" s="21"/>
      <c r="J18" s="21"/>
      <c r="K18" s="21"/>
      <c r="L18" s="103"/>
      <c r="M18" s="21"/>
      <c r="N18" s="44"/>
    </row>
    <row r="19" spans="1:14" ht="31.5">
      <c r="A19" s="36" t="s">
        <v>24</v>
      </c>
      <c r="B19" s="16" t="s">
        <v>18</v>
      </c>
      <c r="C19" s="17">
        <v>1</v>
      </c>
      <c r="D19" s="31"/>
      <c r="E19" s="31"/>
      <c r="F19" s="31"/>
      <c r="G19" s="19">
        <v>784.19</v>
      </c>
      <c r="H19" s="65">
        <v>1674.9</v>
      </c>
      <c r="I19" s="65">
        <v>1977.4177999999999</v>
      </c>
      <c r="J19" s="65">
        <v>2141.1999999999998</v>
      </c>
      <c r="K19" s="65">
        <v>2220.7449000000001</v>
      </c>
      <c r="L19" s="107">
        <v>2331.7800000000002</v>
      </c>
      <c r="M19" s="65">
        <v>2459.37</v>
      </c>
      <c r="N19" s="65">
        <v>2590</v>
      </c>
    </row>
    <row r="20" spans="1:14" ht="12.75">
      <c r="A20" s="15" t="s">
        <v>12</v>
      </c>
      <c r="B20" s="22" t="s">
        <v>13</v>
      </c>
      <c r="C20" s="17"/>
      <c r="D20" s="31"/>
      <c r="E20" s="31"/>
      <c r="F20" s="31"/>
      <c r="G20" s="19"/>
      <c r="H20" s="127">
        <v>111.9</v>
      </c>
      <c r="I20" s="127">
        <f t="shared" ref="I20:N20" si="1">I19/H19*100</f>
        <v>118.06184249805958</v>
      </c>
      <c r="J20" s="127">
        <f t="shared" si="1"/>
        <v>108.28263000363403</v>
      </c>
      <c r="K20" s="127">
        <f t="shared" si="1"/>
        <v>103.71496824210725</v>
      </c>
      <c r="L20" s="127">
        <f t="shared" si="1"/>
        <v>104.99990341078798</v>
      </c>
      <c r="M20" s="127">
        <f t="shared" si="1"/>
        <v>105.47178550292051</v>
      </c>
      <c r="N20" s="127">
        <f t="shared" si="1"/>
        <v>105.31152286967802</v>
      </c>
    </row>
    <row r="21" spans="1:14" ht="12.75">
      <c r="A21" s="15" t="s">
        <v>14</v>
      </c>
      <c r="B21" s="22" t="s">
        <v>13</v>
      </c>
      <c r="C21" s="17"/>
      <c r="D21" s="31"/>
      <c r="E21" s="31"/>
      <c r="F21" s="31"/>
      <c r="G21" s="19"/>
      <c r="H21" s="128"/>
      <c r="I21" s="128"/>
      <c r="J21" s="128"/>
      <c r="K21" s="128"/>
      <c r="L21" s="128"/>
      <c r="M21" s="128"/>
      <c r="N21" s="128"/>
    </row>
    <row r="22" spans="1:14" ht="14.25">
      <c r="A22" s="30" t="s">
        <v>25</v>
      </c>
      <c r="B22" s="34"/>
      <c r="C22" s="17"/>
      <c r="D22" s="31"/>
      <c r="E22" s="31"/>
      <c r="F22" s="31"/>
      <c r="G22" s="19"/>
      <c r="H22" s="65"/>
      <c r="I22" s="65"/>
      <c r="J22" s="65"/>
      <c r="K22" s="65"/>
      <c r="L22" s="107"/>
      <c r="M22" s="65"/>
      <c r="N22" s="44"/>
    </row>
    <row r="23" spans="1:14" ht="21">
      <c r="A23" s="15" t="s">
        <v>26</v>
      </c>
      <c r="B23" s="22" t="s">
        <v>27</v>
      </c>
      <c r="C23" s="20">
        <f>C27+C28</f>
        <v>2241.13</v>
      </c>
      <c r="D23" s="20">
        <f>D27+D28</f>
        <v>3044.4970000000003</v>
      </c>
      <c r="E23" s="20">
        <f>E27+E28</f>
        <v>3454.9</v>
      </c>
      <c r="F23" s="21">
        <v>3885.7</v>
      </c>
      <c r="G23" s="21">
        <v>4407</v>
      </c>
      <c r="H23" s="65">
        <f>H27+H28</f>
        <v>4443.8999999999996</v>
      </c>
      <c r="I23" s="65">
        <f>I27+I28</f>
        <v>5307.45</v>
      </c>
      <c r="J23" s="65">
        <v>5636.6</v>
      </c>
      <c r="K23" s="65">
        <v>5802.9286000000002</v>
      </c>
      <c r="L23" s="65">
        <v>6073.2</v>
      </c>
      <c r="M23" s="65">
        <v>6397.8</v>
      </c>
      <c r="N23" s="65">
        <v>6722.69</v>
      </c>
    </row>
    <row r="24" spans="1:14">
      <c r="A24" s="15" t="s">
        <v>12</v>
      </c>
      <c r="B24" s="22" t="s">
        <v>13</v>
      </c>
      <c r="C24" s="23"/>
      <c r="D24" s="23">
        <f>D23/C23*100/D25*100</f>
        <v>128.39935248368371</v>
      </c>
      <c r="E24" s="39">
        <f>E23/D23/E25*10000</f>
        <v>105.562937493986</v>
      </c>
      <c r="F24" s="38">
        <f>F23/E23/F25*10000</f>
        <v>106.00305992207818</v>
      </c>
      <c r="G24" s="39">
        <f>G23/F23/G25*10000</f>
        <v>106.09528357954846</v>
      </c>
      <c r="H24" s="127">
        <v>119.7</v>
      </c>
      <c r="I24" s="127">
        <f t="shared" ref="I24:N24" si="2">I23/H23*100</f>
        <v>119.43225545129279</v>
      </c>
      <c r="J24" s="127">
        <f t="shared" si="2"/>
        <v>106.20165993085193</v>
      </c>
      <c r="K24" s="127">
        <f t="shared" si="2"/>
        <v>102.95086754426428</v>
      </c>
      <c r="L24" s="127">
        <f t="shared" si="2"/>
        <v>104.65750000784087</v>
      </c>
      <c r="M24" s="127">
        <f t="shared" si="2"/>
        <v>105.34479351906738</v>
      </c>
      <c r="N24" s="127">
        <f t="shared" si="2"/>
        <v>105.07815186470349</v>
      </c>
    </row>
    <row r="25" spans="1:14" ht="16.5" customHeight="1">
      <c r="A25" s="15" t="s">
        <v>14</v>
      </c>
      <c r="B25" s="22" t="s">
        <v>13</v>
      </c>
      <c r="C25" s="23">
        <v>109.9</v>
      </c>
      <c r="D25" s="23">
        <v>105.8</v>
      </c>
      <c r="E25" s="23">
        <v>107.5</v>
      </c>
      <c r="F25" s="23">
        <v>106.1</v>
      </c>
      <c r="G25" s="23">
        <v>106.9</v>
      </c>
      <c r="H25" s="100"/>
      <c r="I25" s="100"/>
      <c r="J25" s="100"/>
      <c r="K25" s="105"/>
      <c r="L25" s="100"/>
      <c r="M25" s="100"/>
      <c r="N25" s="100"/>
    </row>
    <row r="26" spans="1:14">
      <c r="A26" s="36" t="s">
        <v>28</v>
      </c>
      <c r="B26" s="22"/>
      <c r="C26" s="40"/>
      <c r="D26" s="40"/>
      <c r="E26" s="40"/>
      <c r="F26" s="40"/>
      <c r="G26" s="40"/>
      <c r="H26" s="101"/>
      <c r="I26" s="101"/>
      <c r="J26" s="101"/>
      <c r="K26" s="101"/>
      <c r="L26" s="106"/>
      <c r="M26" s="101"/>
      <c r="N26" s="44"/>
    </row>
    <row r="27" spans="1:14" ht="12.75">
      <c r="A27" s="41" t="s">
        <v>29</v>
      </c>
      <c r="B27" s="22" t="s">
        <v>27</v>
      </c>
      <c r="C27" s="42">
        <v>1347.52</v>
      </c>
      <c r="D27" s="42">
        <v>1943.3820000000001</v>
      </c>
      <c r="E27" s="42">
        <v>2225.3000000000002</v>
      </c>
      <c r="F27" s="43">
        <v>2502</v>
      </c>
      <c r="G27" s="43">
        <v>2724</v>
      </c>
      <c r="H27" s="129">
        <v>3058.7</v>
      </c>
      <c r="I27" s="129">
        <v>3260.21</v>
      </c>
      <c r="J27" s="129">
        <v>3458</v>
      </c>
      <c r="K27" s="129">
        <v>3539.7864</v>
      </c>
      <c r="L27" s="130">
        <v>3716.78</v>
      </c>
      <c r="M27" s="65">
        <v>4014.1</v>
      </c>
      <c r="N27" s="67">
        <v>4335.21</v>
      </c>
    </row>
    <row r="28" spans="1:14" ht="12.75">
      <c r="A28" s="41" t="s">
        <v>30</v>
      </c>
      <c r="B28" s="22" t="s">
        <v>27</v>
      </c>
      <c r="C28" s="20">
        <v>893.61</v>
      </c>
      <c r="D28" s="20">
        <v>1101.115</v>
      </c>
      <c r="E28" s="20">
        <v>1229.5999999999999</v>
      </c>
      <c r="F28" s="21">
        <v>1383</v>
      </c>
      <c r="G28" s="21">
        <v>1683</v>
      </c>
      <c r="H28" s="65">
        <v>1385.2</v>
      </c>
      <c r="I28" s="65">
        <v>2047.24</v>
      </c>
      <c r="J28" s="65">
        <v>2178.6</v>
      </c>
      <c r="K28" s="65">
        <v>2263.1421999999998</v>
      </c>
      <c r="L28" s="130">
        <v>2376.4</v>
      </c>
      <c r="M28" s="65">
        <v>2583.6999999999998</v>
      </c>
      <c r="N28" s="67">
        <v>2817.5</v>
      </c>
    </row>
    <row r="29" spans="1:14" ht="14.25">
      <c r="A29" s="30" t="s">
        <v>31</v>
      </c>
      <c r="B29" s="34"/>
      <c r="C29" s="17"/>
      <c r="D29" s="31"/>
      <c r="E29" s="31"/>
      <c r="F29" s="31"/>
      <c r="G29" s="19"/>
      <c r="H29" s="65"/>
      <c r="I29" s="65"/>
      <c r="J29" s="65"/>
      <c r="K29" s="65"/>
      <c r="L29" s="107"/>
      <c r="M29" s="65"/>
      <c r="N29" s="14"/>
    </row>
    <row r="30" spans="1:14" ht="14.25">
      <c r="A30" s="30" t="s">
        <v>32</v>
      </c>
      <c r="B30" s="34"/>
      <c r="C30" s="17"/>
      <c r="D30" s="31"/>
      <c r="E30" s="31"/>
      <c r="F30" s="31"/>
      <c r="G30" s="19"/>
      <c r="H30" s="65"/>
      <c r="I30" s="65"/>
      <c r="J30" s="65"/>
      <c r="K30" s="65"/>
      <c r="L30" s="107"/>
      <c r="M30" s="65"/>
      <c r="N30" s="14"/>
    </row>
    <row r="31" spans="1:14" ht="42">
      <c r="A31" s="15" t="s">
        <v>33</v>
      </c>
      <c r="B31" s="16" t="s">
        <v>34</v>
      </c>
      <c r="C31" s="17">
        <v>1</v>
      </c>
      <c r="D31" s="31"/>
      <c r="E31" s="31"/>
      <c r="F31" s="31"/>
      <c r="G31" s="44">
        <v>250.8</v>
      </c>
      <c r="H31" s="65">
        <v>402.7</v>
      </c>
      <c r="I31" s="65">
        <v>402.7</v>
      </c>
      <c r="J31" s="65">
        <v>435.6</v>
      </c>
      <c r="K31" s="65">
        <v>435.6</v>
      </c>
      <c r="L31" s="65">
        <v>435.6</v>
      </c>
      <c r="M31" s="65">
        <v>435.6</v>
      </c>
      <c r="N31" s="65">
        <v>435.6</v>
      </c>
    </row>
    <row r="32" spans="1:14" ht="14.25">
      <c r="A32" s="30" t="s">
        <v>35</v>
      </c>
      <c r="B32" s="22"/>
      <c r="C32" s="17"/>
      <c r="D32" s="31"/>
      <c r="E32" s="31"/>
      <c r="F32" s="31"/>
      <c r="G32" s="19"/>
      <c r="H32" s="65"/>
      <c r="I32" s="65"/>
      <c r="J32" s="65"/>
      <c r="K32" s="65"/>
      <c r="L32" s="107"/>
      <c r="M32" s="65"/>
      <c r="N32" s="14"/>
    </row>
    <row r="33" spans="1:14" ht="12.75">
      <c r="A33" s="45" t="s">
        <v>36</v>
      </c>
      <c r="B33" s="46"/>
      <c r="C33" s="17"/>
      <c r="D33" s="31"/>
      <c r="E33" s="31"/>
      <c r="F33" s="31"/>
      <c r="G33" s="19" t="s">
        <v>37</v>
      </c>
      <c r="H33" s="65" t="s">
        <v>37</v>
      </c>
      <c r="I33" s="65" t="s">
        <v>37</v>
      </c>
      <c r="J33" s="65"/>
      <c r="K33" s="65"/>
      <c r="L33" s="107" t="s">
        <v>37</v>
      </c>
      <c r="M33" s="107" t="s">
        <v>37</v>
      </c>
      <c r="N33" s="107" t="s">
        <v>37</v>
      </c>
    </row>
    <row r="34" spans="1:14" ht="32.25">
      <c r="A34" s="45" t="s">
        <v>38</v>
      </c>
      <c r="B34" s="46" t="s">
        <v>0</v>
      </c>
      <c r="C34" s="17">
        <v>1</v>
      </c>
      <c r="D34" s="31"/>
      <c r="E34" s="31"/>
      <c r="F34" s="31"/>
      <c r="G34" s="19" t="s">
        <v>37</v>
      </c>
      <c r="H34" s="65"/>
      <c r="I34" s="65" t="s">
        <v>37</v>
      </c>
      <c r="J34" s="65"/>
      <c r="K34" s="65" t="s">
        <v>37</v>
      </c>
      <c r="L34" s="107" t="s">
        <v>37</v>
      </c>
      <c r="M34" s="107" t="s">
        <v>37</v>
      </c>
      <c r="N34" s="107" t="s">
        <v>37</v>
      </c>
    </row>
    <row r="35" spans="1:14" ht="21.75">
      <c r="A35" s="45" t="s">
        <v>39</v>
      </c>
      <c r="B35" s="46" t="s">
        <v>40</v>
      </c>
      <c r="C35" s="17">
        <v>1</v>
      </c>
      <c r="D35" s="31"/>
      <c r="E35" s="31"/>
      <c r="F35" s="31"/>
      <c r="G35" s="19" t="s">
        <v>37</v>
      </c>
      <c r="H35" s="65"/>
      <c r="I35" s="65" t="s">
        <v>37</v>
      </c>
      <c r="J35" s="65"/>
      <c r="K35" s="65" t="s">
        <v>37</v>
      </c>
      <c r="L35" s="107" t="s">
        <v>37</v>
      </c>
      <c r="M35" s="107" t="s">
        <v>37</v>
      </c>
      <c r="N35" s="107" t="s">
        <v>37</v>
      </c>
    </row>
    <row r="36" spans="1:14" ht="21.75">
      <c r="A36" s="45" t="s">
        <v>41</v>
      </c>
      <c r="B36" s="46" t="s">
        <v>0</v>
      </c>
      <c r="C36" s="17">
        <v>1</v>
      </c>
      <c r="D36" s="31"/>
      <c r="E36" s="31"/>
      <c r="F36" s="31"/>
      <c r="G36" s="19">
        <f>11/63080*10000</f>
        <v>1.7438173747622068</v>
      </c>
      <c r="H36" s="65">
        <f>11/H7*10</f>
        <v>1.5826882679635121</v>
      </c>
      <c r="I36" s="65">
        <f>11/I7*10</f>
        <v>1.5606378752624712</v>
      </c>
      <c r="J36" s="65">
        <f>8/J7*10</f>
        <v>1.1218622914037302</v>
      </c>
      <c r="K36" s="65">
        <v>1.1000000000000001</v>
      </c>
      <c r="L36" s="65">
        <f>8/L7*10</f>
        <v>1.0942415538230061</v>
      </c>
      <c r="M36" s="65">
        <f>8/M7*10</f>
        <v>1.080497028633171</v>
      </c>
      <c r="N36" s="65">
        <f>8/N7*10</f>
        <v>1.066382298053852</v>
      </c>
    </row>
    <row r="37" spans="1:14" ht="14.25">
      <c r="A37" s="30" t="s">
        <v>42</v>
      </c>
      <c r="B37" s="47"/>
      <c r="C37" s="17"/>
      <c r="D37" s="31"/>
      <c r="E37" s="31"/>
      <c r="F37" s="31"/>
      <c r="G37" s="19"/>
      <c r="H37" s="65"/>
      <c r="I37" s="65"/>
      <c r="J37" s="65"/>
      <c r="K37" s="65"/>
      <c r="L37" s="107"/>
      <c r="M37" s="65"/>
      <c r="N37" s="14"/>
    </row>
    <row r="38" spans="1:14" ht="21">
      <c r="A38" s="15" t="s">
        <v>43</v>
      </c>
      <c r="B38" s="22" t="s">
        <v>18</v>
      </c>
      <c r="C38" s="17">
        <v>1</v>
      </c>
      <c r="D38" s="31"/>
      <c r="E38" s="31"/>
      <c r="F38" s="31"/>
      <c r="G38" s="19">
        <v>1412.5</v>
      </c>
      <c r="H38" s="65">
        <v>2489.779</v>
      </c>
      <c r="I38" s="65">
        <v>2795.9450000000002</v>
      </c>
      <c r="J38" s="65">
        <v>3112.1509999999998</v>
      </c>
      <c r="K38" s="65">
        <v>3240.9472999999998</v>
      </c>
      <c r="L38" s="107">
        <v>3403.9</v>
      </c>
      <c r="M38" s="107">
        <v>3678.4</v>
      </c>
      <c r="N38" s="107">
        <v>3979.7</v>
      </c>
    </row>
    <row r="39" spans="1:14" ht="12.75">
      <c r="A39" s="15" t="s">
        <v>12</v>
      </c>
      <c r="B39" s="22" t="s">
        <v>13</v>
      </c>
      <c r="C39" s="17"/>
      <c r="D39" s="31"/>
      <c r="E39" s="31"/>
      <c r="F39" s="31"/>
      <c r="G39" s="19"/>
      <c r="H39" s="100">
        <v>107.6</v>
      </c>
      <c r="I39" s="100">
        <f t="shared" ref="I39:N39" si="3">I38/H38*100</f>
        <v>112.29691470608437</v>
      </c>
      <c r="J39" s="100">
        <f t="shared" si="3"/>
        <v>111.30944993553162</v>
      </c>
      <c r="K39" s="100">
        <f t="shared" si="3"/>
        <v>104.1384977785461</v>
      </c>
      <c r="L39" s="100">
        <f t="shared" si="3"/>
        <v>105.02793427094603</v>
      </c>
      <c r="M39" s="100">
        <f t="shared" si="3"/>
        <v>108.06427920914246</v>
      </c>
      <c r="N39" s="100">
        <f t="shared" si="3"/>
        <v>108.19106133101349</v>
      </c>
    </row>
    <row r="40" spans="1:14" ht="12.75">
      <c r="A40" s="15" t="s">
        <v>14</v>
      </c>
      <c r="B40" s="22" t="s">
        <v>13</v>
      </c>
      <c r="C40" s="17"/>
      <c r="D40" s="31"/>
      <c r="E40" s="31"/>
      <c r="F40" s="31"/>
      <c r="G40" s="19"/>
      <c r="H40" s="100"/>
      <c r="I40" s="100"/>
      <c r="J40" s="100"/>
      <c r="K40" s="105"/>
      <c r="L40" s="100"/>
      <c r="M40" s="100"/>
      <c r="N40" s="100"/>
    </row>
    <row r="41" spans="1:14" ht="14.25">
      <c r="A41" s="26" t="s">
        <v>44</v>
      </c>
      <c r="B41" s="34"/>
      <c r="C41" s="17"/>
      <c r="D41" s="31"/>
      <c r="E41" s="31"/>
      <c r="F41" s="31"/>
      <c r="G41" s="19"/>
      <c r="H41" s="65"/>
      <c r="I41" s="65"/>
      <c r="J41" s="65"/>
      <c r="K41" s="65"/>
      <c r="L41" s="107"/>
      <c r="M41" s="65"/>
      <c r="N41" s="44"/>
    </row>
    <row r="42" spans="1:14" ht="12.75">
      <c r="A42" s="15" t="s">
        <v>45</v>
      </c>
      <c r="B42" s="22" t="s">
        <v>46</v>
      </c>
      <c r="C42" s="17">
        <v>1</v>
      </c>
      <c r="D42" s="31"/>
      <c r="E42" s="31"/>
      <c r="F42" s="31"/>
      <c r="G42" s="19">
        <v>5372</v>
      </c>
      <c r="H42" s="65">
        <v>4258.7</v>
      </c>
      <c r="I42" s="65">
        <v>4673.8999999999996</v>
      </c>
      <c r="J42" s="65">
        <v>4936.2569999999996</v>
      </c>
      <c r="K42" s="65">
        <v>5212.1511</v>
      </c>
      <c r="L42" s="107">
        <f>K42*1.005</f>
        <v>5238.2118554999997</v>
      </c>
      <c r="M42" s="107">
        <f>L42*1.005</f>
        <v>5264.4029147774991</v>
      </c>
      <c r="N42" s="107">
        <f>M42*1.005</f>
        <v>5290.724929351386</v>
      </c>
    </row>
    <row r="43" spans="1:14" ht="12.75">
      <c r="A43" s="15" t="s">
        <v>12</v>
      </c>
      <c r="B43" s="22" t="s">
        <v>13</v>
      </c>
      <c r="C43" s="17"/>
      <c r="D43" s="31"/>
      <c r="E43" s="31"/>
      <c r="F43" s="31"/>
      <c r="G43" s="19"/>
      <c r="H43" s="100">
        <v>106.1</v>
      </c>
      <c r="I43" s="100">
        <f t="shared" ref="I43:N43" si="4">I42/H42*100</f>
        <v>109.74945405875032</v>
      </c>
      <c r="J43" s="100">
        <f t="shared" si="4"/>
        <v>105.61323519972615</v>
      </c>
      <c r="K43" s="100">
        <f t="shared" si="4"/>
        <v>105.5891356548089</v>
      </c>
      <c r="L43" s="100">
        <f t="shared" si="4"/>
        <v>100.49999999999999</v>
      </c>
      <c r="M43" s="100">
        <f t="shared" si="4"/>
        <v>100.49999999999999</v>
      </c>
      <c r="N43" s="100">
        <f t="shared" si="4"/>
        <v>100.49999999999999</v>
      </c>
    </row>
    <row r="44" spans="1:14" ht="12.75">
      <c r="A44" s="15" t="s">
        <v>14</v>
      </c>
      <c r="B44" s="22" t="s">
        <v>13</v>
      </c>
      <c r="C44" s="17"/>
      <c r="D44" s="31"/>
      <c r="E44" s="31"/>
      <c r="F44" s="31"/>
      <c r="G44" s="19"/>
      <c r="H44" s="100"/>
      <c r="I44" s="100"/>
      <c r="J44" s="100"/>
      <c r="K44" s="105"/>
      <c r="L44" s="105"/>
      <c r="M44" s="105"/>
      <c r="N44" s="105"/>
    </row>
    <row r="45" spans="1:14" ht="28.5">
      <c r="A45" s="26" t="s">
        <v>47</v>
      </c>
      <c r="B45" s="34"/>
      <c r="C45" s="17"/>
      <c r="D45" s="31"/>
      <c r="E45" s="31"/>
      <c r="F45" s="31"/>
      <c r="G45" s="19"/>
      <c r="H45" s="65"/>
      <c r="I45" s="65"/>
      <c r="J45" s="65"/>
      <c r="K45" s="65"/>
      <c r="L45" s="107"/>
      <c r="M45" s="65"/>
      <c r="N45" s="14"/>
    </row>
    <row r="46" spans="1:14" ht="12.75">
      <c r="A46" s="48" t="s">
        <v>48</v>
      </c>
      <c r="B46" s="22" t="s">
        <v>49</v>
      </c>
      <c r="C46" s="17">
        <v>1</v>
      </c>
      <c r="D46" s="31"/>
      <c r="E46" s="31"/>
      <c r="F46" s="31"/>
      <c r="G46" s="19" t="s">
        <v>37</v>
      </c>
      <c r="H46" s="65" t="s">
        <v>37</v>
      </c>
      <c r="I46" s="65" t="s">
        <v>37</v>
      </c>
      <c r="J46" s="65" t="s">
        <v>37</v>
      </c>
      <c r="K46" s="65"/>
      <c r="L46" s="107" t="s">
        <v>37</v>
      </c>
      <c r="M46" s="65" t="s">
        <v>37</v>
      </c>
      <c r="N46" s="14"/>
    </row>
    <row r="47" spans="1:14" ht="12.75">
      <c r="A47" s="48" t="s">
        <v>50</v>
      </c>
      <c r="B47" s="22" t="s">
        <v>49</v>
      </c>
      <c r="C47" s="17">
        <v>1</v>
      </c>
      <c r="D47" s="31"/>
      <c r="E47" s="31"/>
      <c r="F47" s="31"/>
      <c r="G47" s="19" t="s">
        <v>37</v>
      </c>
      <c r="H47" s="65" t="s">
        <v>37</v>
      </c>
      <c r="I47" s="65" t="s">
        <v>37</v>
      </c>
      <c r="J47" s="65" t="s">
        <v>37</v>
      </c>
      <c r="K47" s="65" t="s">
        <v>37</v>
      </c>
      <c r="L47" s="107" t="s">
        <v>37</v>
      </c>
      <c r="M47" s="65" t="s">
        <v>37</v>
      </c>
      <c r="N47" s="14"/>
    </row>
    <row r="48" spans="1:14" ht="28.5">
      <c r="A48" s="49" t="s">
        <v>51</v>
      </c>
      <c r="B48" s="50"/>
      <c r="C48" s="51"/>
      <c r="D48" s="52"/>
      <c r="E48" s="52"/>
      <c r="F48" s="52"/>
      <c r="G48" s="19"/>
      <c r="H48" s="65"/>
      <c r="I48" s="65"/>
      <c r="J48" s="65"/>
      <c r="K48" s="65"/>
      <c r="L48" s="107"/>
      <c r="M48" s="65"/>
      <c r="N48" s="14"/>
    </row>
    <row r="49" spans="1:14" ht="12.75">
      <c r="A49" s="53" t="s">
        <v>52</v>
      </c>
      <c r="B49" s="54" t="s">
        <v>0</v>
      </c>
      <c r="C49" s="51"/>
      <c r="D49" s="52"/>
      <c r="E49" s="52"/>
      <c r="F49" s="52"/>
      <c r="G49" s="19" t="s">
        <v>37</v>
      </c>
      <c r="H49" s="65" t="s">
        <v>37</v>
      </c>
      <c r="I49" s="65" t="s">
        <v>37</v>
      </c>
      <c r="J49" s="65" t="s">
        <v>37</v>
      </c>
      <c r="K49" s="65" t="s">
        <v>37</v>
      </c>
      <c r="L49" s="107" t="s">
        <v>37</v>
      </c>
      <c r="M49" s="107" t="s">
        <v>37</v>
      </c>
      <c r="N49" s="107" t="s">
        <v>37</v>
      </c>
    </row>
    <row r="50" spans="1:14" ht="21">
      <c r="A50" s="55" t="s">
        <v>53</v>
      </c>
      <c r="B50" s="54"/>
      <c r="C50" s="51"/>
      <c r="D50" s="52"/>
      <c r="E50" s="52"/>
      <c r="F50" s="52"/>
      <c r="G50" s="19" t="s">
        <v>37</v>
      </c>
      <c r="H50" s="65" t="s">
        <v>37</v>
      </c>
      <c r="I50" s="65" t="s">
        <v>37</v>
      </c>
      <c r="J50" s="65"/>
      <c r="K50" s="65" t="s">
        <v>37</v>
      </c>
      <c r="L50" s="107"/>
      <c r="M50" s="107"/>
      <c r="N50" s="107"/>
    </row>
    <row r="51" spans="1:14" ht="12.75">
      <c r="A51" s="56" t="s">
        <v>54</v>
      </c>
      <c r="B51" s="54" t="s">
        <v>0</v>
      </c>
      <c r="C51" s="51"/>
      <c r="D51" s="52"/>
      <c r="E51" s="52"/>
      <c r="F51" s="52"/>
      <c r="G51" s="19" t="s">
        <v>37</v>
      </c>
      <c r="H51" s="65" t="s">
        <v>37</v>
      </c>
      <c r="I51" s="65" t="s">
        <v>37</v>
      </c>
      <c r="J51" s="65"/>
      <c r="K51" s="65" t="s">
        <v>37</v>
      </c>
      <c r="L51" s="107"/>
      <c r="M51" s="107"/>
      <c r="N51" s="107"/>
    </row>
    <row r="52" spans="1:14" ht="12.75">
      <c r="A52" s="56" t="s">
        <v>55</v>
      </c>
      <c r="B52" s="54" t="s">
        <v>0</v>
      </c>
      <c r="C52" s="51"/>
      <c r="D52" s="52"/>
      <c r="E52" s="52"/>
      <c r="F52" s="52"/>
      <c r="G52" s="19" t="s">
        <v>37</v>
      </c>
      <c r="H52" s="65" t="s">
        <v>37</v>
      </c>
      <c r="I52" s="65" t="s">
        <v>37</v>
      </c>
      <c r="J52" s="65"/>
      <c r="K52" s="65" t="s">
        <v>37</v>
      </c>
      <c r="L52" s="107" t="s">
        <v>37</v>
      </c>
      <c r="M52" s="107" t="s">
        <v>37</v>
      </c>
      <c r="N52" s="107" t="s">
        <v>37</v>
      </c>
    </row>
    <row r="53" spans="1:14" ht="21">
      <c r="A53" s="56" t="s">
        <v>56</v>
      </c>
      <c r="B53" s="54" t="s">
        <v>0</v>
      </c>
      <c r="C53" s="51"/>
      <c r="D53" s="52"/>
      <c r="E53" s="52"/>
      <c r="F53" s="52"/>
      <c r="G53" s="19" t="s">
        <v>37</v>
      </c>
      <c r="H53" s="65" t="s">
        <v>37</v>
      </c>
      <c r="I53" s="65" t="s">
        <v>37</v>
      </c>
      <c r="J53" s="65" t="s">
        <v>37</v>
      </c>
      <c r="K53" s="65" t="s">
        <v>37</v>
      </c>
      <c r="L53" s="107" t="s">
        <v>37</v>
      </c>
      <c r="M53" s="107" t="s">
        <v>37</v>
      </c>
      <c r="N53" s="107" t="s">
        <v>37</v>
      </c>
    </row>
    <row r="54" spans="1:14" ht="12.75">
      <c r="A54" s="56" t="s">
        <v>57</v>
      </c>
      <c r="B54" s="54" t="s">
        <v>0</v>
      </c>
      <c r="C54" s="51"/>
      <c r="D54" s="52"/>
      <c r="E54" s="52"/>
      <c r="F54" s="52"/>
      <c r="G54" s="19" t="s">
        <v>37</v>
      </c>
      <c r="H54" s="65" t="s">
        <v>37</v>
      </c>
      <c r="I54" s="65" t="s">
        <v>37</v>
      </c>
      <c r="J54" s="65" t="s">
        <v>37</v>
      </c>
      <c r="K54" s="65" t="s">
        <v>37</v>
      </c>
      <c r="L54" s="107" t="s">
        <v>37</v>
      </c>
      <c r="M54" s="107" t="s">
        <v>37</v>
      </c>
      <c r="N54" s="107" t="s">
        <v>37</v>
      </c>
    </row>
    <row r="55" spans="1:14" ht="31.5">
      <c r="A55" s="56" t="s">
        <v>58</v>
      </c>
      <c r="B55" s="54" t="s">
        <v>0</v>
      </c>
      <c r="C55" s="51"/>
      <c r="D55" s="52"/>
      <c r="E55" s="52"/>
      <c r="F55" s="52"/>
      <c r="G55" s="19" t="s">
        <v>37</v>
      </c>
      <c r="H55" s="65" t="s">
        <v>37</v>
      </c>
      <c r="I55" s="65" t="s">
        <v>37</v>
      </c>
      <c r="J55" s="65" t="s">
        <v>37</v>
      </c>
      <c r="K55" s="65" t="s">
        <v>37</v>
      </c>
      <c r="L55" s="107" t="s">
        <v>37</v>
      </c>
      <c r="M55" s="107" t="s">
        <v>37</v>
      </c>
      <c r="N55" s="107" t="s">
        <v>37</v>
      </c>
    </row>
    <row r="56" spans="1:14" ht="12.75">
      <c r="A56" s="56" t="s">
        <v>59</v>
      </c>
      <c r="B56" s="54" t="s">
        <v>0</v>
      </c>
      <c r="C56" s="51"/>
      <c r="D56" s="52"/>
      <c r="E56" s="52"/>
      <c r="F56" s="52"/>
      <c r="G56" s="19" t="s">
        <v>37</v>
      </c>
      <c r="H56" s="65" t="s">
        <v>37</v>
      </c>
      <c r="I56" s="65" t="s">
        <v>37</v>
      </c>
      <c r="J56" s="65" t="s">
        <v>37</v>
      </c>
      <c r="K56" s="65" t="s">
        <v>37</v>
      </c>
      <c r="L56" s="107" t="s">
        <v>37</v>
      </c>
      <c r="M56" s="107" t="s">
        <v>37</v>
      </c>
      <c r="N56" s="107" t="s">
        <v>37</v>
      </c>
    </row>
    <row r="57" spans="1:14" ht="21">
      <c r="A57" s="56" t="s">
        <v>60</v>
      </c>
      <c r="B57" s="54" t="s">
        <v>0</v>
      </c>
      <c r="C57" s="51"/>
      <c r="D57" s="52"/>
      <c r="E57" s="52"/>
      <c r="F57" s="52"/>
      <c r="G57" s="19" t="s">
        <v>37</v>
      </c>
      <c r="H57" s="65" t="s">
        <v>37</v>
      </c>
      <c r="I57" s="65" t="s">
        <v>37</v>
      </c>
      <c r="J57" s="65" t="s">
        <v>37</v>
      </c>
      <c r="K57" s="65" t="s">
        <v>37</v>
      </c>
      <c r="L57" s="107" t="s">
        <v>37</v>
      </c>
      <c r="M57" s="107" t="s">
        <v>37</v>
      </c>
      <c r="N57" s="107" t="s">
        <v>37</v>
      </c>
    </row>
    <row r="58" spans="1:14" ht="12.75">
      <c r="A58" s="56" t="s">
        <v>61</v>
      </c>
      <c r="B58" s="54" t="s">
        <v>0</v>
      </c>
      <c r="C58" s="51"/>
      <c r="D58" s="52"/>
      <c r="E58" s="52"/>
      <c r="F58" s="52"/>
      <c r="G58" s="19" t="s">
        <v>37</v>
      </c>
      <c r="H58" s="65" t="s">
        <v>37</v>
      </c>
      <c r="I58" s="65" t="s">
        <v>37</v>
      </c>
      <c r="J58" s="65" t="s">
        <v>37</v>
      </c>
      <c r="K58" s="65" t="s">
        <v>37</v>
      </c>
      <c r="L58" s="107" t="s">
        <v>37</v>
      </c>
      <c r="M58" s="107" t="s">
        <v>37</v>
      </c>
      <c r="N58" s="107" t="s">
        <v>37</v>
      </c>
    </row>
    <row r="59" spans="1:14" ht="21">
      <c r="A59" s="53" t="s">
        <v>62</v>
      </c>
      <c r="B59" s="54" t="s">
        <v>0</v>
      </c>
      <c r="C59" s="17">
        <v>1</v>
      </c>
      <c r="D59" s="31"/>
      <c r="E59" s="31"/>
      <c r="F59" s="31"/>
      <c r="G59" s="57">
        <v>361</v>
      </c>
      <c r="H59" s="65">
        <f t="shared" ref="H59:N59" si="5">H61+H62+H63+H64+H65+H66+H67+H68+H69+H70</f>
        <v>259</v>
      </c>
      <c r="I59" s="65">
        <f t="shared" si="5"/>
        <v>260</v>
      </c>
      <c r="J59" s="65">
        <f t="shared" si="5"/>
        <v>237</v>
      </c>
      <c r="K59" s="65">
        <f t="shared" si="5"/>
        <v>237</v>
      </c>
      <c r="L59" s="65">
        <f t="shared" si="5"/>
        <v>237</v>
      </c>
      <c r="M59" s="65">
        <f t="shared" si="5"/>
        <v>237</v>
      </c>
      <c r="N59" s="65">
        <f t="shared" si="5"/>
        <v>237</v>
      </c>
    </row>
    <row r="60" spans="1:14" ht="21">
      <c r="A60" s="55" t="s">
        <v>53</v>
      </c>
      <c r="B60" s="54"/>
      <c r="C60" s="17"/>
      <c r="D60" s="31"/>
      <c r="E60" s="31"/>
      <c r="F60" s="31"/>
      <c r="G60" s="57"/>
      <c r="H60" s="65"/>
      <c r="I60" s="65"/>
      <c r="J60" s="65"/>
      <c r="K60" s="65"/>
      <c r="L60" s="65"/>
      <c r="M60" s="65"/>
      <c r="N60" s="65"/>
    </row>
    <row r="61" spans="1:14" ht="12.75">
      <c r="A61" s="56" t="s">
        <v>54</v>
      </c>
      <c r="B61" s="54" t="s">
        <v>0</v>
      </c>
      <c r="C61" s="17"/>
      <c r="D61" s="31"/>
      <c r="E61" s="31"/>
      <c r="F61" s="31"/>
      <c r="G61" s="57">
        <v>5</v>
      </c>
      <c r="H61" s="65">
        <v>8</v>
      </c>
      <c r="I61" s="65">
        <v>8</v>
      </c>
      <c r="J61" s="65">
        <v>9</v>
      </c>
      <c r="K61" s="65">
        <v>9</v>
      </c>
      <c r="L61" s="65">
        <v>9</v>
      </c>
      <c r="M61" s="65">
        <v>9</v>
      </c>
      <c r="N61" s="65">
        <v>9</v>
      </c>
    </row>
    <row r="62" spans="1:14" ht="12.75">
      <c r="A62" s="56" t="s">
        <v>55</v>
      </c>
      <c r="B62" s="54" t="s">
        <v>0</v>
      </c>
      <c r="C62" s="17"/>
      <c r="D62" s="31"/>
      <c r="E62" s="31"/>
      <c r="F62" s="31"/>
      <c r="G62" s="57"/>
      <c r="H62" s="65">
        <v>3</v>
      </c>
      <c r="I62" s="65"/>
      <c r="J62" s="65"/>
      <c r="K62" s="65"/>
      <c r="L62" s="65"/>
      <c r="M62" s="65"/>
      <c r="N62" s="65"/>
    </row>
    <row r="63" spans="1:14" ht="21">
      <c r="A63" s="56" t="s">
        <v>56</v>
      </c>
      <c r="B63" s="54" t="s">
        <v>0</v>
      </c>
      <c r="C63" s="17">
        <v>1</v>
      </c>
      <c r="D63" s="31"/>
      <c r="E63" s="31"/>
      <c r="F63" s="31"/>
      <c r="G63" s="57">
        <v>5</v>
      </c>
      <c r="H63" s="65">
        <v>4</v>
      </c>
      <c r="I63" s="65">
        <v>4</v>
      </c>
      <c r="J63" s="65">
        <v>4</v>
      </c>
      <c r="K63" s="65">
        <v>4</v>
      </c>
      <c r="L63" s="65">
        <v>4</v>
      </c>
      <c r="M63" s="65">
        <v>4</v>
      </c>
      <c r="N63" s="65">
        <v>4</v>
      </c>
    </row>
    <row r="64" spans="1:14" ht="12.75">
      <c r="A64" s="56" t="s">
        <v>57</v>
      </c>
      <c r="B64" s="27"/>
      <c r="C64" s="17">
        <v>1</v>
      </c>
      <c r="D64" s="31"/>
      <c r="E64" s="31"/>
      <c r="F64" s="31"/>
      <c r="G64" s="57">
        <v>30</v>
      </c>
      <c r="H64" s="65">
        <v>18</v>
      </c>
      <c r="I64" s="65">
        <v>11</v>
      </c>
      <c r="J64" s="65">
        <v>23</v>
      </c>
      <c r="K64" s="65">
        <v>23</v>
      </c>
      <c r="L64" s="65">
        <v>23</v>
      </c>
      <c r="M64" s="65">
        <v>23</v>
      </c>
      <c r="N64" s="65">
        <v>23</v>
      </c>
    </row>
    <row r="65" spans="1:14" ht="12.75">
      <c r="A65" s="56" t="s">
        <v>63</v>
      </c>
      <c r="B65" s="54" t="s">
        <v>0</v>
      </c>
      <c r="C65" s="17"/>
      <c r="D65" s="31"/>
      <c r="E65" s="31"/>
      <c r="F65" s="31"/>
      <c r="G65" s="57"/>
      <c r="H65" s="65">
        <v>57</v>
      </c>
      <c r="I65" s="65">
        <v>43</v>
      </c>
      <c r="J65" s="65">
        <v>54</v>
      </c>
      <c r="K65" s="65">
        <v>54</v>
      </c>
      <c r="L65" s="65">
        <v>54</v>
      </c>
      <c r="M65" s="65">
        <v>54</v>
      </c>
      <c r="N65" s="65">
        <v>54</v>
      </c>
    </row>
    <row r="66" spans="1:14" ht="31.5">
      <c r="A66" s="56" t="s">
        <v>58</v>
      </c>
      <c r="B66" s="54" t="s">
        <v>0</v>
      </c>
      <c r="C66" s="17"/>
      <c r="D66" s="31"/>
      <c r="E66" s="31"/>
      <c r="F66" s="31"/>
      <c r="G66" s="57">
        <v>120</v>
      </c>
      <c r="H66" s="65">
        <v>57</v>
      </c>
      <c r="I66" s="65">
        <v>50</v>
      </c>
      <c r="J66" s="65">
        <v>50</v>
      </c>
      <c r="K66" s="65">
        <v>50</v>
      </c>
      <c r="L66" s="65">
        <v>50</v>
      </c>
      <c r="M66" s="65">
        <v>50</v>
      </c>
      <c r="N66" s="65">
        <v>50</v>
      </c>
    </row>
    <row r="67" spans="1:14" ht="12.75">
      <c r="A67" s="56" t="s">
        <v>59</v>
      </c>
      <c r="B67" s="54" t="s">
        <v>0</v>
      </c>
      <c r="C67" s="17">
        <v>1</v>
      </c>
      <c r="D67" s="31"/>
      <c r="E67" s="31"/>
      <c r="F67" s="31"/>
      <c r="G67" s="57">
        <v>1</v>
      </c>
      <c r="H67" s="65">
        <v>2</v>
      </c>
      <c r="I67" s="65">
        <v>2</v>
      </c>
      <c r="J67" s="65">
        <v>2</v>
      </c>
      <c r="K67" s="65">
        <v>2</v>
      </c>
      <c r="L67" s="65">
        <v>2</v>
      </c>
      <c r="M67" s="65">
        <v>2</v>
      </c>
      <c r="N67" s="65">
        <v>2</v>
      </c>
    </row>
    <row r="68" spans="1:14" ht="21">
      <c r="A68" s="56" t="s">
        <v>60</v>
      </c>
      <c r="B68" s="54" t="s">
        <v>0</v>
      </c>
      <c r="C68" s="17">
        <v>1</v>
      </c>
      <c r="D68" s="31"/>
      <c r="E68" s="31"/>
      <c r="F68" s="31"/>
      <c r="G68" s="57"/>
      <c r="H68" s="65"/>
      <c r="I68" s="65"/>
      <c r="J68" s="65"/>
      <c r="K68" s="65"/>
      <c r="L68" s="65"/>
      <c r="M68" s="65"/>
      <c r="N68" s="65"/>
    </row>
    <row r="69" spans="1:14" ht="12.75">
      <c r="A69" s="56" t="s">
        <v>61</v>
      </c>
      <c r="B69" s="54" t="s">
        <v>0</v>
      </c>
      <c r="C69" s="17">
        <v>1</v>
      </c>
      <c r="D69" s="31"/>
      <c r="E69" s="31"/>
      <c r="F69" s="31"/>
      <c r="G69" s="57"/>
      <c r="H69" s="65"/>
      <c r="I69" s="65"/>
      <c r="J69" s="65"/>
      <c r="K69" s="65"/>
      <c r="L69" s="65"/>
      <c r="M69" s="65"/>
      <c r="N69" s="65"/>
    </row>
    <row r="70" spans="1:14" ht="12.75">
      <c r="A70" s="56" t="s">
        <v>64</v>
      </c>
      <c r="B70" s="54"/>
      <c r="C70" s="17"/>
      <c r="D70" s="31"/>
      <c r="E70" s="31"/>
      <c r="F70" s="31"/>
      <c r="G70" s="57">
        <f>G59-G61-G62-G63-G64-G66-G67</f>
        <v>200</v>
      </c>
      <c r="H70" s="65">
        <v>110</v>
      </c>
      <c r="I70" s="65">
        <v>142</v>
      </c>
      <c r="J70" s="65">
        <v>95</v>
      </c>
      <c r="K70" s="65">
        <v>95</v>
      </c>
      <c r="L70" s="65">
        <v>95</v>
      </c>
      <c r="M70" s="65">
        <v>95</v>
      </c>
      <c r="N70" s="65">
        <v>95</v>
      </c>
    </row>
    <row r="71" spans="1:14" ht="32.25" customHeight="1">
      <c r="A71" s="53" t="s">
        <v>65</v>
      </c>
      <c r="B71" s="54" t="s">
        <v>11</v>
      </c>
      <c r="C71" s="17">
        <v>1</v>
      </c>
      <c r="D71" s="31"/>
      <c r="E71" s="31"/>
      <c r="F71" s="31"/>
      <c r="G71" s="19">
        <v>1291</v>
      </c>
      <c r="H71" s="65">
        <v>3.488</v>
      </c>
      <c r="I71" s="65">
        <v>3.5</v>
      </c>
      <c r="J71" s="65">
        <v>3.5</v>
      </c>
      <c r="K71" s="65">
        <v>3.5</v>
      </c>
      <c r="L71" s="65">
        <v>3.5</v>
      </c>
      <c r="M71" s="65">
        <v>3.5</v>
      </c>
      <c r="N71" s="65">
        <v>3.5</v>
      </c>
    </row>
    <row r="72" spans="1:14" ht="12.75">
      <c r="A72" s="53" t="s">
        <v>66</v>
      </c>
      <c r="B72" s="54" t="s">
        <v>18</v>
      </c>
      <c r="C72" s="17"/>
      <c r="D72" s="31"/>
      <c r="E72" s="31"/>
      <c r="F72" s="31"/>
      <c r="G72" s="19" t="s">
        <v>37</v>
      </c>
      <c r="H72" s="65">
        <v>4.3499999999999996</v>
      </c>
      <c r="I72" s="65" t="s">
        <v>37</v>
      </c>
      <c r="J72" s="65" t="s">
        <v>37</v>
      </c>
      <c r="K72" s="65" t="s">
        <v>37</v>
      </c>
      <c r="L72" s="65" t="s">
        <v>37</v>
      </c>
      <c r="M72" s="65" t="s">
        <v>37</v>
      </c>
      <c r="N72" s="65" t="s">
        <v>37</v>
      </c>
    </row>
    <row r="73" spans="1:14" ht="12.75">
      <c r="A73" s="55" t="s">
        <v>67</v>
      </c>
      <c r="B73" s="54"/>
      <c r="C73" s="17"/>
      <c r="D73" s="31"/>
      <c r="E73" s="31"/>
      <c r="F73" s="31"/>
      <c r="G73" s="19" t="s">
        <v>37</v>
      </c>
      <c r="H73" s="65" t="s">
        <v>37</v>
      </c>
      <c r="I73" s="65" t="s">
        <v>37</v>
      </c>
      <c r="J73" s="65" t="s">
        <v>37</v>
      </c>
      <c r="K73" s="65" t="s">
        <v>37</v>
      </c>
      <c r="L73" s="107" t="s">
        <v>37</v>
      </c>
      <c r="M73" s="65" t="s">
        <v>37</v>
      </c>
      <c r="N73" s="65" t="s">
        <v>37</v>
      </c>
    </row>
    <row r="74" spans="1:14" ht="12.75">
      <c r="A74" s="56" t="s">
        <v>54</v>
      </c>
      <c r="B74" s="54" t="s">
        <v>18</v>
      </c>
      <c r="C74" s="17"/>
      <c r="D74" s="31"/>
      <c r="E74" s="31"/>
      <c r="F74" s="31"/>
      <c r="G74" s="19" t="s">
        <v>37</v>
      </c>
      <c r="H74" s="65" t="s">
        <v>37</v>
      </c>
      <c r="I74" s="65" t="s">
        <v>37</v>
      </c>
      <c r="J74" s="65" t="s">
        <v>37</v>
      </c>
      <c r="K74" s="65" t="s">
        <v>37</v>
      </c>
      <c r="L74" s="107" t="s">
        <v>37</v>
      </c>
      <c r="M74" s="65" t="s">
        <v>37</v>
      </c>
      <c r="N74" s="65" t="s">
        <v>37</v>
      </c>
    </row>
    <row r="75" spans="1:14" ht="12.75">
      <c r="A75" s="56" t="s">
        <v>55</v>
      </c>
      <c r="B75" s="54" t="s">
        <v>18</v>
      </c>
      <c r="C75" s="17"/>
      <c r="D75" s="31"/>
      <c r="E75" s="31"/>
      <c r="F75" s="31"/>
      <c r="G75" s="19" t="s">
        <v>37</v>
      </c>
      <c r="H75" s="65" t="s">
        <v>37</v>
      </c>
      <c r="I75" s="65" t="s">
        <v>37</v>
      </c>
      <c r="J75" s="65" t="s">
        <v>37</v>
      </c>
      <c r="K75" s="65" t="s">
        <v>37</v>
      </c>
      <c r="L75" s="107" t="s">
        <v>37</v>
      </c>
      <c r="M75" s="65" t="s">
        <v>37</v>
      </c>
      <c r="N75" s="65" t="s">
        <v>37</v>
      </c>
    </row>
    <row r="76" spans="1:14" ht="21">
      <c r="A76" s="56" t="s">
        <v>56</v>
      </c>
      <c r="B76" s="54" t="s">
        <v>18</v>
      </c>
      <c r="C76" s="17"/>
      <c r="D76" s="31"/>
      <c r="E76" s="31"/>
      <c r="F76" s="31"/>
      <c r="G76" s="19" t="s">
        <v>37</v>
      </c>
      <c r="H76" s="65" t="s">
        <v>37</v>
      </c>
      <c r="I76" s="65" t="s">
        <v>37</v>
      </c>
      <c r="J76" s="65" t="s">
        <v>37</v>
      </c>
      <c r="K76" s="65" t="s">
        <v>37</v>
      </c>
      <c r="L76" s="107" t="s">
        <v>37</v>
      </c>
      <c r="M76" s="65" t="s">
        <v>37</v>
      </c>
      <c r="N76" s="65" t="s">
        <v>37</v>
      </c>
    </row>
    <row r="77" spans="1:14" ht="12.75">
      <c r="A77" s="56" t="s">
        <v>57</v>
      </c>
      <c r="B77" s="54" t="s">
        <v>18</v>
      </c>
      <c r="C77" s="17"/>
      <c r="D77" s="31"/>
      <c r="E77" s="31"/>
      <c r="F77" s="31"/>
      <c r="G77" s="19" t="s">
        <v>37</v>
      </c>
      <c r="H77" s="65" t="s">
        <v>37</v>
      </c>
      <c r="I77" s="65" t="s">
        <v>37</v>
      </c>
      <c r="J77" s="65" t="s">
        <v>37</v>
      </c>
      <c r="K77" s="65" t="s">
        <v>37</v>
      </c>
      <c r="L77" s="107" t="s">
        <v>37</v>
      </c>
      <c r="M77" s="65" t="s">
        <v>37</v>
      </c>
      <c r="N77" s="65" t="s">
        <v>37</v>
      </c>
    </row>
    <row r="78" spans="1:14" ht="31.5">
      <c r="A78" s="56" t="s">
        <v>58</v>
      </c>
      <c r="B78" s="54" t="s">
        <v>18</v>
      </c>
      <c r="C78" s="17"/>
      <c r="D78" s="31"/>
      <c r="E78" s="31"/>
      <c r="F78" s="31"/>
      <c r="G78" s="19" t="s">
        <v>37</v>
      </c>
      <c r="H78" s="65" t="s">
        <v>37</v>
      </c>
      <c r="I78" s="65" t="s">
        <v>37</v>
      </c>
      <c r="J78" s="65" t="s">
        <v>37</v>
      </c>
      <c r="K78" s="65" t="s">
        <v>37</v>
      </c>
      <c r="L78" s="107" t="s">
        <v>37</v>
      </c>
      <c r="M78" s="65" t="s">
        <v>37</v>
      </c>
      <c r="N78" s="65" t="s">
        <v>37</v>
      </c>
    </row>
    <row r="79" spans="1:14" ht="12.75">
      <c r="A79" s="56" t="s">
        <v>59</v>
      </c>
      <c r="B79" s="54" t="s">
        <v>18</v>
      </c>
      <c r="C79" s="17"/>
      <c r="D79" s="31"/>
      <c r="E79" s="31"/>
      <c r="F79" s="31"/>
      <c r="G79" s="19" t="s">
        <v>37</v>
      </c>
      <c r="H79" s="65" t="s">
        <v>37</v>
      </c>
      <c r="I79" s="65" t="s">
        <v>37</v>
      </c>
      <c r="J79" s="65"/>
      <c r="K79" s="65" t="s">
        <v>37</v>
      </c>
      <c r="L79" s="107" t="s">
        <v>37</v>
      </c>
      <c r="M79" s="65" t="s">
        <v>37</v>
      </c>
      <c r="N79" s="65" t="s">
        <v>37</v>
      </c>
    </row>
    <row r="80" spans="1:14" ht="21">
      <c r="A80" s="56" t="s">
        <v>68</v>
      </c>
      <c r="B80" s="54" t="s">
        <v>18</v>
      </c>
      <c r="C80" s="17"/>
      <c r="D80" s="31"/>
      <c r="E80" s="31"/>
      <c r="F80" s="31"/>
      <c r="G80" s="19" t="s">
        <v>37</v>
      </c>
      <c r="H80" s="65" t="s">
        <v>37</v>
      </c>
      <c r="I80" s="65" t="s">
        <v>37</v>
      </c>
      <c r="J80" s="65"/>
      <c r="K80" s="65" t="s">
        <v>37</v>
      </c>
      <c r="L80" s="107" t="s">
        <v>37</v>
      </c>
      <c r="M80" s="65" t="s">
        <v>37</v>
      </c>
      <c r="N80" s="65" t="s">
        <v>37</v>
      </c>
    </row>
    <row r="81" spans="1:14" ht="12.75">
      <c r="A81" s="58" t="s">
        <v>28</v>
      </c>
      <c r="B81" s="54"/>
      <c r="C81" s="17"/>
      <c r="D81" s="31"/>
      <c r="E81" s="31"/>
      <c r="F81" s="31"/>
      <c r="G81" s="19" t="s">
        <v>37</v>
      </c>
      <c r="H81" s="65" t="s">
        <v>37</v>
      </c>
      <c r="I81" s="65" t="s">
        <v>37</v>
      </c>
      <c r="J81" s="65"/>
      <c r="K81" s="65" t="s">
        <v>37</v>
      </c>
      <c r="L81" s="107" t="s">
        <v>37</v>
      </c>
      <c r="M81" s="65" t="s">
        <v>37</v>
      </c>
      <c r="N81" s="65" t="s">
        <v>37</v>
      </c>
    </row>
    <row r="82" spans="1:14" ht="12.75">
      <c r="A82" s="56" t="s">
        <v>69</v>
      </c>
      <c r="B82" s="54" t="s">
        <v>18</v>
      </c>
      <c r="C82" s="17"/>
      <c r="D82" s="31"/>
      <c r="E82" s="31"/>
      <c r="F82" s="31"/>
      <c r="G82" s="19" t="s">
        <v>37</v>
      </c>
      <c r="H82" s="65" t="s">
        <v>37</v>
      </c>
      <c r="I82" s="65" t="s">
        <v>37</v>
      </c>
      <c r="J82" s="65"/>
      <c r="K82" s="65" t="s">
        <v>37</v>
      </c>
      <c r="L82" s="107" t="s">
        <v>37</v>
      </c>
      <c r="M82" s="65" t="s">
        <v>37</v>
      </c>
      <c r="N82" s="65" t="s">
        <v>37</v>
      </c>
    </row>
    <row r="83" spans="1:14" ht="35.25" customHeight="1">
      <c r="A83" s="53" t="s">
        <v>70</v>
      </c>
      <c r="B83" s="54" t="s">
        <v>18</v>
      </c>
      <c r="C83" s="17"/>
      <c r="D83" s="31"/>
      <c r="E83" s="31"/>
      <c r="F83" s="31"/>
      <c r="G83" s="19" t="e">
        <f>G85+G86+G87+G88+G89+G91+#REF!+#REF!</f>
        <v>#REF!</v>
      </c>
      <c r="H83" s="65">
        <f t="shared" ref="H83:J83" si="6">H85+H86+H87+H88+H89+H90+H92</f>
        <v>3134</v>
      </c>
      <c r="I83" s="65">
        <f t="shared" si="6"/>
        <v>3481</v>
      </c>
      <c r="J83" s="65">
        <f t="shared" si="6"/>
        <v>3724.8559999999998</v>
      </c>
      <c r="K83" s="65">
        <f>K85+K86+K87+K88+K89+K90+K92</f>
        <v>3920.4999999999995</v>
      </c>
      <c r="L83" s="65">
        <f>K83*1.03</f>
        <v>4038.1149999999998</v>
      </c>
      <c r="M83" s="65">
        <f t="shared" ref="M83" si="7">L83*1.03</f>
        <v>4159.2584500000003</v>
      </c>
      <c r="N83" s="65">
        <f>M83*1.04</f>
        <v>4325.628788</v>
      </c>
    </row>
    <row r="84" spans="1:14" ht="14.25" customHeight="1">
      <c r="A84" s="55" t="s">
        <v>67</v>
      </c>
      <c r="B84" s="54"/>
      <c r="C84" s="17"/>
      <c r="D84" s="31"/>
      <c r="E84" s="31"/>
      <c r="F84" s="31"/>
      <c r="G84" s="19"/>
      <c r="H84" s="65"/>
      <c r="I84" s="65"/>
      <c r="J84" s="65"/>
      <c r="K84" s="65"/>
      <c r="L84" s="65"/>
      <c r="M84" s="65"/>
      <c r="N84" s="65"/>
    </row>
    <row r="85" spans="1:14" ht="14.25" customHeight="1">
      <c r="A85" s="56" t="s">
        <v>54</v>
      </c>
      <c r="B85" s="54" t="s">
        <v>18</v>
      </c>
      <c r="C85" s="17"/>
      <c r="D85" s="31"/>
      <c r="E85" s="31"/>
      <c r="F85" s="31"/>
      <c r="G85" s="44">
        <v>155.63999999999999</v>
      </c>
      <c r="H85" s="65">
        <v>761</v>
      </c>
      <c r="I85" s="65">
        <v>273.89999999999998</v>
      </c>
      <c r="J85" s="65">
        <v>380.2</v>
      </c>
      <c r="K85" s="65">
        <v>390</v>
      </c>
      <c r="L85" s="65">
        <f>J85*1.07</f>
        <v>406.81400000000002</v>
      </c>
      <c r="M85" s="65">
        <f>L85*1.07</f>
        <v>435.29098000000005</v>
      </c>
      <c r="N85" s="65">
        <f>M85*1.08</f>
        <v>470.1142584000001</v>
      </c>
    </row>
    <row r="86" spans="1:14" ht="14.25" customHeight="1">
      <c r="A86" s="56" t="s">
        <v>55</v>
      </c>
      <c r="B86" s="54" t="s">
        <v>18</v>
      </c>
      <c r="C86" s="17"/>
      <c r="D86" s="31"/>
      <c r="E86" s="31"/>
      <c r="F86" s="31"/>
      <c r="G86" s="19">
        <v>31.25</v>
      </c>
      <c r="H86" s="65">
        <v>153.1</v>
      </c>
      <c r="I86" s="65">
        <v>0</v>
      </c>
      <c r="J86" s="65">
        <v>65.680000000000007</v>
      </c>
      <c r="K86" s="65">
        <v>68</v>
      </c>
      <c r="L86" s="65">
        <f>J86*1.05</f>
        <v>68.964000000000013</v>
      </c>
      <c r="M86" s="65">
        <f>L86*1.05</f>
        <v>72.412200000000013</v>
      </c>
      <c r="N86" s="65">
        <f>M86*1.05</f>
        <v>76.032810000000012</v>
      </c>
    </row>
    <row r="87" spans="1:14" ht="27" customHeight="1">
      <c r="A87" s="56" t="s">
        <v>56</v>
      </c>
      <c r="B87" s="54" t="s">
        <v>18</v>
      </c>
      <c r="C87" s="17"/>
      <c r="D87" s="31"/>
      <c r="E87" s="31"/>
      <c r="F87" s="31"/>
      <c r="G87" s="19">
        <v>517.47</v>
      </c>
      <c r="H87" s="65">
        <v>531</v>
      </c>
      <c r="I87" s="65">
        <v>622.6</v>
      </c>
      <c r="J87" s="65">
        <v>625.69000000000005</v>
      </c>
      <c r="K87" s="65">
        <v>626</v>
      </c>
      <c r="L87" s="65">
        <f>J87*1.08</f>
        <v>675.74520000000007</v>
      </c>
      <c r="M87" s="65">
        <f>L87*1.08</f>
        <v>729.80481600000007</v>
      </c>
      <c r="N87" s="65">
        <f>M87*1.08</f>
        <v>788.18920128000013</v>
      </c>
    </row>
    <row r="88" spans="1:14" ht="14.25" customHeight="1">
      <c r="A88" s="56" t="s">
        <v>57</v>
      </c>
      <c r="B88" s="54" t="s">
        <v>18</v>
      </c>
      <c r="C88" s="17"/>
      <c r="D88" s="31"/>
      <c r="E88" s="31"/>
      <c r="F88" s="31"/>
      <c r="G88" s="19">
        <v>593.11</v>
      </c>
      <c r="H88" s="65">
        <v>588</v>
      </c>
      <c r="I88" s="65">
        <v>1528.3</v>
      </c>
      <c r="J88" s="65">
        <v>1580.095</v>
      </c>
      <c r="K88" s="65">
        <v>1740.1</v>
      </c>
      <c r="L88" s="65">
        <f>J88*1.18</f>
        <v>1864.5120999999999</v>
      </c>
      <c r="M88" s="65">
        <f>L88*1.08</f>
        <v>2013.6730680000001</v>
      </c>
      <c r="N88" s="65">
        <f>M88*1.05</f>
        <v>2114.3567214</v>
      </c>
    </row>
    <row r="89" spans="1:14" ht="35.25" customHeight="1">
      <c r="A89" s="56" t="s">
        <v>58</v>
      </c>
      <c r="B89" s="54" t="s">
        <v>18</v>
      </c>
      <c r="C89" s="17"/>
      <c r="D89" s="31"/>
      <c r="E89" s="31"/>
      <c r="F89" s="31"/>
      <c r="G89" s="19">
        <v>239.35</v>
      </c>
      <c r="H89" s="65">
        <v>113</v>
      </c>
      <c r="I89" s="65">
        <v>113</v>
      </c>
      <c r="J89" s="65">
        <v>112.85599999999999</v>
      </c>
      <c r="K89" s="65">
        <v>111.2</v>
      </c>
      <c r="L89" s="65">
        <f>J89*1.07</f>
        <v>120.75592</v>
      </c>
      <c r="M89" s="65">
        <f>L89*1.07</f>
        <v>129.2088344</v>
      </c>
      <c r="N89" s="65">
        <f>M89*1.07</f>
        <v>138.25345280800002</v>
      </c>
    </row>
    <row r="90" spans="1:14" ht="20.25" customHeight="1">
      <c r="A90" s="56" t="s">
        <v>71</v>
      </c>
      <c r="B90" s="54" t="s">
        <v>18</v>
      </c>
      <c r="C90" s="17"/>
      <c r="D90" s="31"/>
      <c r="E90" s="31"/>
      <c r="F90" s="31"/>
      <c r="G90" s="19"/>
      <c r="H90" s="65">
        <v>306</v>
      </c>
      <c r="I90" s="65">
        <v>319.10000000000002</v>
      </c>
      <c r="J90" s="65">
        <v>335.40699999999998</v>
      </c>
      <c r="K90" s="65">
        <v>345.1</v>
      </c>
      <c r="L90" s="65">
        <f>J90*1.05</f>
        <v>352.17734999999999</v>
      </c>
      <c r="M90" s="65">
        <f>L90*1.05</f>
        <v>369.78621750000002</v>
      </c>
      <c r="N90" s="65">
        <f>M90*1.05</f>
        <v>388.27552837500002</v>
      </c>
    </row>
    <row r="91" spans="1:14" ht="23.25" customHeight="1">
      <c r="A91" s="56" t="s">
        <v>59</v>
      </c>
      <c r="B91" s="54" t="s">
        <v>18</v>
      </c>
      <c r="C91" s="17"/>
      <c r="D91" s="31"/>
      <c r="E91" s="31"/>
      <c r="F91" s="31"/>
      <c r="G91" s="19">
        <f>20/1000</f>
        <v>0.02</v>
      </c>
      <c r="H91" s="65" t="s">
        <v>37</v>
      </c>
      <c r="I91" s="65" t="s">
        <v>37</v>
      </c>
      <c r="J91" s="65" t="s">
        <v>37</v>
      </c>
      <c r="K91" s="65" t="s">
        <v>37</v>
      </c>
      <c r="L91" s="65" t="s">
        <v>37</v>
      </c>
      <c r="M91" s="65" t="s">
        <v>37</v>
      </c>
      <c r="N91" s="65" t="s">
        <v>37</v>
      </c>
    </row>
    <row r="92" spans="1:14" ht="23.25" customHeight="1">
      <c r="A92" s="56" t="s">
        <v>200</v>
      </c>
      <c r="B92" s="54" t="s">
        <v>18</v>
      </c>
      <c r="C92" s="17"/>
      <c r="D92" s="31"/>
      <c r="E92" s="31"/>
      <c r="F92" s="31"/>
      <c r="G92" s="19" t="s">
        <v>37</v>
      </c>
      <c r="H92" s="81">
        <v>681.9</v>
      </c>
      <c r="I92" s="65">
        <v>624.1</v>
      </c>
      <c r="J92" s="65">
        <v>624.928</v>
      </c>
      <c r="K92" s="65">
        <v>640.1</v>
      </c>
      <c r="L92" s="65">
        <f>J92*1.07</f>
        <v>668.67295999999999</v>
      </c>
      <c r="M92" s="65">
        <f>L92*1.07</f>
        <v>715.48006720000001</v>
      </c>
      <c r="N92" s="65">
        <f>M92*1.07</f>
        <v>765.5636719040001</v>
      </c>
    </row>
    <row r="93" spans="1:14" ht="24.75" customHeight="1">
      <c r="A93" s="26" t="s">
        <v>72</v>
      </c>
      <c r="B93" s="16"/>
      <c r="C93" s="17"/>
      <c r="D93" s="31"/>
      <c r="E93" s="31"/>
      <c r="F93" s="31"/>
      <c r="G93" s="19"/>
      <c r="H93" s="102">
        <v>3858.1</v>
      </c>
      <c r="I93" s="102">
        <v>4216</v>
      </c>
      <c r="J93" s="102"/>
      <c r="K93" s="102"/>
      <c r="L93" s="108"/>
      <c r="M93" s="102"/>
      <c r="N93" s="14"/>
    </row>
    <row r="94" spans="1:14" ht="21">
      <c r="A94" s="59" t="s">
        <v>73</v>
      </c>
      <c r="B94" s="60" t="s">
        <v>18</v>
      </c>
      <c r="C94" s="17">
        <v>1</v>
      </c>
      <c r="D94" s="31"/>
      <c r="E94" s="31"/>
      <c r="F94" s="31"/>
      <c r="G94" s="19">
        <v>5135.8</v>
      </c>
      <c r="H94" s="65">
        <v>4343.2</v>
      </c>
      <c r="I94" s="65">
        <v>4711.2370000000001</v>
      </c>
      <c r="J94" s="65">
        <v>4964.7588999999998</v>
      </c>
      <c r="K94" s="65">
        <v>5146.4013000000004</v>
      </c>
      <c r="L94" s="107">
        <v>5291</v>
      </c>
      <c r="M94" s="65">
        <v>5342</v>
      </c>
      <c r="N94" s="65">
        <v>5394</v>
      </c>
    </row>
    <row r="95" spans="1:14" ht="12.75">
      <c r="A95" s="15" t="s">
        <v>12</v>
      </c>
      <c r="B95" s="22" t="s">
        <v>13</v>
      </c>
      <c r="C95" s="17"/>
      <c r="D95" s="31"/>
      <c r="E95" s="31"/>
      <c r="F95" s="31"/>
      <c r="G95" s="19"/>
      <c r="H95" s="100">
        <v>106.2</v>
      </c>
      <c r="I95" s="100">
        <f t="shared" ref="I95:N95" si="8">I94/H94*100</f>
        <v>108.47386719469516</v>
      </c>
      <c r="J95" s="100">
        <f t="shared" si="8"/>
        <v>105.38121728964175</v>
      </c>
      <c r="K95" s="100">
        <f t="shared" si="8"/>
        <v>103.65863486341705</v>
      </c>
      <c r="L95" s="100">
        <f t="shared" si="8"/>
        <v>102.80970510403064</v>
      </c>
      <c r="M95" s="100">
        <f t="shared" si="8"/>
        <v>100.96390096390095</v>
      </c>
      <c r="N95" s="100">
        <f t="shared" si="8"/>
        <v>100.97341819543242</v>
      </c>
    </row>
    <row r="96" spans="1:14" ht="12.75">
      <c r="A96" s="15" t="s">
        <v>14</v>
      </c>
      <c r="B96" s="22" t="s">
        <v>13</v>
      </c>
      <c r="C96" s="17"/>
      <c r="D96" s="31"/>
      <c r="E96" s="31"/>
      <c r="F96" s="31"/>
      <c r="G96" s="19"/>
      <c r="H96" s="100"/>
      <c r="I96" s="100"/>
      <c r="J96" s="100"/>
      <c r="K96" s="105"/>
      <c r="L96" s="100"/>
      <c r="M96" s="100"/>
      <c r="N96" s="100"/>
    </row>
    <row r="97" spans="1:14" ht="14.25">
      <c r="A97" s="26" t="s">
        <v>74</v>
      </c>
      <c r="B97" s="16"/>
      <c r="C97" s="17"/>
      <c r="D97" s="31"/>
      <c r="E97" s="31"/>
      <c r="F97" s="31"/>
      <c r="G97" s="19"/>
      <c r="H97" s="65"/>
      <c r="I97" s="65"/>
      <c r="J97" s="65"/>
      <c r="K97" s="65"/>
      <c r="L97" s="107"/>
      <c r="M97" s="65"/>
      <c r="N97" s="14"/>
    </row>
    <row r="98" spans="1:14" ht="12.75">
      <c r="A98" s="15" t="s">
        <v>75</v>
      </c>
      <c r="B98" s="16" t="s">
        <v>76</v>
      </c>
      <c r="C98" s="17">
        <v>1</v>
      </c>
      <c r="D98" s="31"/>
      <c r="E98" s="31"/>
      <c r="F98" s="31"/>
      <c r="G98" s="19">
        <v>110</v>
      </c>
      <c r="H98" s="65">
        <v>9720.7000000000007</v>
      </c>
      <c r="I98" s="65">
        <v>9720.7000000000007</v>
      </c>
      <c r="J98" s="65">
        <v>117.2</v>
      </c>
      <c r="K98" s="65">
        <f>J98*1.01</f>
        <v>118.372</v>
      </c>
      <c r="L98" s="107">
        <f>J98*1.03</f>
        <v>120.71600000000001</v>
      </c>
      <c r="M98" s="65">
        <f>L98*1.02</f>
        <v>123.13032000000001</v>
      </c>
      <c r="N98" s="65">
        <f>123.2</f>
        <v>123.2</v>
      </c>
    </row>
    <row r="99" spans="1:14" ht="12.75">
      <c r="A99" s="15" t="s">
        <v>77</v>
      </c>
      <c r="B99" s="16" t="s">
        <v>76</v>
      </c>
      <c r="C99" s="17">
        <v>1</v>
      </c>
      <c r="D99" s="31"/>
      <c r="E99" s="31"/>
      <c r="F99" s="31"/>
      <c r="G99" s="19">
        <v>438</v>
      </c>
      <c r="H99" s="65">
        <v>2916.6</v>
      </c>
      <c r="I99" s="65">
        <v>2916.6</v>
      </c>
      <c r="J99" s="65">
        <v>1454.2</v>
      </c>
      <c r="K99" s="65">
        <f>J99*1.01</f>
        <v>1468.742</v>
      </c>
      <c r="L99" s="65">
        <f>K99*1.01</f>
        <v>1483.4294199999999</v>
      </c>
      <c r="M99" s="65">
        <f>L99*1.01</f>
        <v>1498.2637141999999</v>
      </c>
      <c r="N99" s="65">
        <f>M99*1.01</f>
        <v>1513.2463513419998</v>
      </c>
    </row>
    <row r="100" spans="1:14" ht="22.5">
      <c r="A100" s="15" t="s">
        <v>201</v>
      </c>
      <c r="B100" s="62" t="s">
        <v>78</v>
      </c>
      <c r="C100" s="17">
        <v>1</v>
      </c>
      <c r="D100" s="31"/>
      <c r="E100" s="31"/>
      <c r="F100" s="31"/>
      <c r="G100" s="19">
        <v>18.04</v>
      </c>
      <c r="H100" s="65">
        <v>22.420999999999999</v>
      </c>
      <c r="I100" s="65">
        <v>15.08</v>
      </c>
      <c r="J100" s="65">
        <v>15.25</v>
      </c>
      <c r="K100" s="65">
        <v>14.95</v>
      </c>
      <c r="L100" s="65">
        <f>J100*1.03</f>
        <v>15.7075</v>
      </c>
      <c r="M100" s="65">
        <f>L100*1.03</f>
        <v>16.178725</v>
      </c>
      <c r="N100" s="65">
        <f>M100*1.03</f>
        <v>16.664086749999999</v>
      </c>
    </row>
    <row r="101" spans="1:14" ht="14.25">
      <c r="A101" s="63" t="s">
        <v>79</v>
      </c>
      <c r="B101" s="16"/>
      <c r="C101" s="17"/>
      <c r="D101" s="31"/>
      <c r="E101" s="31"/>
      <c r="F101" s="31"/>
      <c r="G101" s="19"/>
      <c r="H101" s="65"/>
      <c r="I101" s="65"/>
      <c r="J101" s="65"/>
      <c r="K101" s="65"/>
      <c r="L101" s="107"/>
      <c r="M101" s="65"/>
      <c r="N101" s="14"/>
    </row>
    <row r="102" spans="1:14" ht="12.75">
      <c r="A102" s="64" t="s">
        <v>80</v>
      </c>
      <c r="B102" s="16" t="s">
        <v>76</v>
      </c>
      <c r="C102" s="17"/>
      <c r="D102" s="31"/>
      <c r="E102" s="31"/>
      <c r="F102" s="31"/>
      <c r="G102" s="19">
        <v>597.36099999999999</v>
      </c>
      <c r="H102" s="65">
        <f t="shared" ref="H102:N102" si="9">H103+H119+H124</f>
        <v>660.19420000000002</v>
      </c>
      <c r="I102" s="65">
        <f t="shared" si="9"/>
        <v>728.69010000000003</v>
      </c>
      <c r="J102" s="65">
        <f t="shared" si="9"/>
        <v>875.32429999999999</v>
      </c>
      <c r="K102" s="65">
        <f t="shared" si="9"/>
        <v>1027.8248000000001</v>
      </c>
      <c r="L102" s="65">
        <f t="shared" si="9"/>
        <v>747.5</v>
      </c>
      <c r="M102" s="65">
        <f t="shared" si="9"/>
        <v>748.1</v>
      </c>
      <c r="N102" s="65">
        <f t="shared" si="9"/>
        <v>748.1</v>
      </c>
    </row>
    <row r="103" spans="1:14" ht="12.75">
      <c r="A103" s="15" t="s">
        <v>81</v>
      </c>
      <c r="B103" s="16" t="s">
        <v>76</v>
      </c>
      <c r="C103" s="17">
        <v>1</v>
      </c>
      <c r="D103" s="31"/>
      <c r="E103" s="31"/>
      <c r="F103" s="31"/>
      <c r="G103" s="19">
        <v>45.615000000000002</v>
      </c>
      <c r="H103" s="65">
        <f t="shared" ref="H103:N103" si="10">H105+H106+H112+H118+H111</f>
        <v>94.729100000000003</v>
      </c>
      <c r="I103" s="65">
        <f t="shared" si="10"/>
        <v>97.612899999999996</v>
      </c>
      <c r="J103" s="65">
        <f t="shared" si="10"/>
        <v>112.548</v>
      </c>
      <c r="K103" s="65">
        <f>K105+K106+K112+K118+K111</f>
        <v>115.524</v>
      </c>
      <c r="L103" s="65">
        <f t="shared" si="10"/>
        <v>105.9</v>
      </c>
      <c r="M103" s="65">
        <f t="shared" si="10"/>
        <v>106.80000000000001</v>
      </c>
      <c r="N103" s="65">
        <f t="shared" si="10"/>
        <v>106.80000000000001</v>
      </c>
    </row>
    <row r="104" spans="1:14" ht="12.75">
      <c r="A104" s="15" t="s">
        <v>82</v>
      </c>
      <c r="B104" s="16" t="s">
        <v>76</v>
      </c>
      <c r="C104" s="17">
        <v>1</v>
      </c>
      <c r="D104" s="31"/>
      <c r="E104" s="31"/>
      <c r="F104" s="31"/>
      <c r="G104" s="19">
        <v>26.427</v>
      </c>
      <c r="H104" s="65"/>
      <c r="I104" s="65"/>
      <c r="J104" s="65"/>
      <c r="K104" s="65"/>
      <c r="L104" s="107"/>
      <c r="M104" s="65"/>
      <c r="N104" s="65"/>
    </row>
    <row r="105" spans="1:14" ht="12.75">
      <c r="A105" s="15" t="s">
        <v>83</v>
      </c>
      <c r="B105" s="16" t="s">
        <v>76</v>
      </c>
      <c r="C105" s="17">
        <v>1</v>
      </c>
      <c r="D105" s="31"/>
      <c r="E105" s="31"/>
      <c r="F105" s="31"/>
      <c r="G105" s="19">
        <v>26.427</v>
      </c>
      <c r="H105" s="65">
        <v>53.808100000000003</v>
      </c>
      <c r="I105" s="65">
        <v>57.050699999999999</v>
      </c>
      <c r="J105" s="65">
        <v>65.278700000000001</v>
      </c>
      <c r="K105" s="65">
        <v>67.5</v>
      </c>
      <c r="L105" s="107">
        <v>62.4</v>
      </c>
      <c r="M105" s="65">
        <v>63</v>
      </c>
      <c r="N105" s="65">
        <v>63</v>
      </c>
    </row>
    <row r="106" spans="1:14" ht="12.75">
      <c r="A106" s="15" t="s">
        <v>84</v>
      </c>
      <c r="B106" s="16" t="s">
        <v>76</v>
      </c>
      <c r="C106" s="17">
        <v>1</v>
      </c>
      <c r="D106" s="31"/>
      <c r="E106" s="31"/>
      <c r="F106" s="31"/>
      <c r="G106" s="19">
        <v>7.6130000000000004</v>
      </c>
      <c r="H106" s="65">
        <f>H107+H109</f>
        <v>14.430400000000001</v>
      </c>
      <c r="I106" s="65">
        <f>I107+I109</f>
        <v>14.5503</v>
      </c>
      <c r="J106" s="65">
        <f>J107+J109</f>
        <v>14.8895</v>
      </c>
      <c r="K106" s="65">
        <v>14.4</v>
      </c>
      <c r="L106" s="107">
        <v>13.4</v>
      </c>
      <c r="M106" s="65">
        <v>13.4</v>
      </c>
      <c r="N106" s="65">
        <v>13.4</v>
      </c>
    </row>
    <row r="107" spans="1:14" ht="12.75">
      <c r="A107" s="15" t="s">
        <v>85</v>
      </c>
      <c r="B107" s="16" t="s">
        <v>76</v>
      </c>
      <c r="C107" s="17"/>
      <c r="D107" s="31"/>
      <c r="E107" s="31"/>
      <c r="F107" s="31"/>
      <c r="G107" s="19">
        <v>1.7030000000000001</v>
      </c>
      <c r="H107" s="65">
        <v>4.4732000000000003</v>
      </c>
      <c r="I107" s="65">
        <v>4.1558000000000002</v>
      </c>
      <c r="J107" s="65">
        <v>4.3315000000000001</v>
      </c>
      <c r="K107" s="65">
        <v>4.1680000000000001</v>
      </c>
      <c r="L107" s="107">
        <v>4.2</v>
      </c>
      <c r="M107" s="65">
        <v>4</v>
      </c>
      <c r="N107" s="65">
        <v>4</v>
      </c>
    </row>
    <row r="108" spans="1:14" ht="12.75">
      <c r="A108" s="15" t="s">
        <v>86</v>
      </c>
      <c r="B108" s="16" t="s">
        <v>76</v>
      </c>
      <c r="C108" s="17">
        <v>1</v>
      </c>
      <c r="D108" s="31"/>
      <c r="E108" s="31"/>
      <c r="F108" s="31"/>
      <c r="G108" s="19">
        <v>1.01</v>
      </c>
      <c r="H108" s="65"/>
      <c r="I108" s="65"/>
      <c r="J108" s="65"/>
      <c r="K108" s="65"/>
      <c r="L108" s="107"/>
      <c r="M108" s="65">
        <v>4.2</v>
      </c>
      <c r="N108" s="65">
        <v>4.2</v>
      </c>
    </row>
    <row r="109" spans="1:14" ht="12.75">
      <c r="A109" s="15" t="s">
        <v>87</v>
      </c>
      <c r="B109" s="16" t="s">
        <v>76</v>
      </c>
      <c r="C109" s="17"/>
      <c r="D109" s="31"/>
      <c r="E109" s="31"/>
      <c r="F109" s="31"/>
      <c r="G109" s="19">
        <v>4.9000000000000004</v>
      </c>
      <c r="H109" s="65">
        <v>9.9572000000000003</v>
      </c>
      <c r="I109" s="65">
        <v>10.394500000000001</v>
      </c>
      <c r="J109" s="65">
        <v>10.558</v>
      </c>
      <c r="K109" s="65">
        <v>10.199999999999999</v>
      </c>
      <c r="L109" s="107">
        <v>9.1999999999999993</v>
      </c>
      <c r="M109" s="65">
        <v>9.1999999999999993</v>
      </c>
      <c r="N109" s="65">
        <v>9.1999999999999993</v>
      </c>
    </row>
    <row r="110" spans="1:14" ht="21">
      <c r="A110" s="15" t="s">
        <v>88</v>
      </c>
      <c r="B110" s="16" t="s">
        <v>76</v>
      </c>
      <c r="C110" s="17">
        <v>1</v>
      </c>
      <c r="D110" s="31"/>
      <c r="E110" s="31"/>
      <c r="F110" s="31"/>
      <c r="G110" s="19"/>
      <c r="H110" s="65"/>
      <c r="I110" s="65"/>
      <c r="J110" s="65"/>
      <c r="K110" s="65"/>
      <c r="L110" s="107"/>
      <c r="M110" s="65"/>
      <c r="N110" s="65"/>
    </row>
    <row r="111" spans="1:14" ht="21">
      <c r="A111" s="15" t="s">
        <v>89</v>
      </c>
      <c r="B111" s="16" t="s">
        <v>76</v>
      </c>
      <c r="C111" s="17">
        <v>1</v>
      </c>
      <c r="D111" s="31"/>
      <c r="E111" s="31"/>
      <c r="F111" s="31"/>
      <c r="G111" s="19"/>
      <c r="H111" s="65">
        <v>13.7812</v>
      </c>
      <c r="I111" s="65">
        <v>10.6332</v>
      </c>
      <c r="J111" s="65">
        <v>11.2186</v>
      </c>
      <c r="K111" s="65">
        <v>11.1</v>
      </c>
      <c r="L111" s="107">
        <v>10.199999999999999</v>
      </c>
      <c r="M111" s="65">
        <v>10.5</v>
      </c>
      <c r="N111" s="65">
        <v>10.5</v>
      </c>
    </row>
    <row r="112" spans="1:14" ht="12.75">
      <c r="A112" s="15" t="s">
        <v>90</v>
      </c>
      <c r="B112" s="16" t="s">
        <v>76</v>
      </c>
      <c r="C112" s="17">
        <v>1</v>
      </c>
      <c r="D112" s="31"/>
      <c r="E112" s="31"/>
      <c r="F112" s="31"/>
      <c r="G112" s="19">
        <v>7.032</v>
      </c>
      <c r="H112" s="65">
        <f>H113+H114+H115</f>
        <v>10.9992</v>
      </c>
      <c r="I112" s="65">
        <f>I113+I114+I115</f>
        <v>13.307399999999999</v>
      </c>
      <c r="J112" s="65">
        <f>J113+J114+J115</f>
        <v>18.487699999999997</v>
      </c>
      <c r="K112" s="65">
        <v>19.824000000000002</v>
      </c>
      <c r="L112" s="107">
        <v>18.2</v>
      </c>
      <c r="M112" s="65">
        <v>18.2</v>
      </c>
      <c r="N112" s="65">
        <v>18.2</v>
      </c>
    </row>
    <row r="113" spans="1:14" ht="21">
      <c r="A113" s="15" t="s">
        <v>204</v>
      </c>
      <c r="B113" s="16" t="s">
        <v>76</v>
      </c>
      <c r="C113" s="17">
        <v>1</v>
      </c>
      <c r="D113" s="31"/>
      <c r="E113" s="31"/>
      <c r="F113" s="31"/>
      <c r="G113" s="19">
        <v>1.6759999999999999</v>
      </c>
      <c r="H113" s="65">
        <v>2.3681999999999999</v>
      </c>
      <c r="I113" s="65">
        <v>2.7869999999999999</v>
      </c>
      <c r="J113" s="65">
        <v>3.0265</v>
      </c>
      <c r="K113" s="65">
        <v>3.6</v>
      </c>
      <c r="L113" s="107">
        <v>2.2000000000000002</v>
      </c>
      <c r="M113" s="65">
        <v>2.2000000000000002</v>
      </c>
      <c r="N113" s="65">
        <v>2.2000000000000002</v>
      </c>
    </row>
    <row r="114" spans="1:14" ht="21">
      <c r="A114" s="15" t="s">
        <v>91</v>
      </c>
      <c r="B114" s="16" t="s">
        <v>76</v>
      </c>
      <c r="C114" s="17">
        <v>1</v>
      </c>
      <c r="D114" s="31"/>
      <c r="E114" s="31"/>
      <c r="F114" s="31"/>
      <c r="G114" s="19">
        <v>4.2990000000000004</v>
      </c>
      <c r="H114" s="65">
        <v>8.1620000000000008</v>
      </c>
      <c r="I114" s="65">
        <v>10.1553</v>
      </c>
      <c r="J114" s="65">
        <v>14.873799999999999</v>
      </c>
      <c r="K114" s="65">
        <v>15.6</v>
      </c>
      <c r="L114" s="107">
        <v>14.3</v>
      </c>
      <c r="M114" s="65">
        <v>14.4</v>
      </c>
      <c r="N114" s="65">
        <v>14.4</v>
      </c>
    </row>
    <row r="115" spans="1:14" ht="12.75">
      <c r="A115" s="15" t="s">
        <v>92</v>
      </c>
      <c r="B115" s="16" t="s">
        <v>76</v>
      </c>
      <c r="C115" s="17"/>
      <c r="D115" s="31"/>
      <c r="E115" s="31"/>
      <c r="F115" s="31"/>
      <c r="G115" s="19">
        <v>1.0569999999999999</v>
      </c>
      <c r="H115" s="65">
        <v>0.46899999999999997</v>
      </c>
      <c r="I115" s="65">
        <v>0.36509999999999998</v>
      </c>
      <c r="J115" s="65">
        <v>0.58740000000000003</v>
      </c>
      <c r="K115" s="65">
        <v>0.5</v>
      </c>
      <c r="L115" s="107">
        <v>0.5</v>
      </c>
      <c r="M115" s="65">
        <v>0.5</v>
      </c>
      <c r="N115" s="65">
        <v>0.5</v>
      </c>
    </row>
    <row r="116" spans="1:14" ht="21">
      <c r="A116" s="15" t="s">
        <v>93</v>
      </c>
      <c r="B116" s="16" t="s">
        <v>76</v>
      </c>
      <c r="C116" s="17">
        <v>1</v>
      </c>
      <c r="D116" s="31"/>
      <c r="E116" s="31"/>
      <c r="F116" s="31"/>
      <c r="G116" s="19">
        <v>0.124</v>
      </c>
      <c r="H116" s="65">
        <v>1.9099999999999999E-2</v>
      </c>
      <c r="I116" s="65">
        <v>2.9899999999999999E-2</v>
      </c>
      <c r="J116" s="65">
        <v>5.45E-2</v>
      </c>
      <c r="K116" s="65">
        <v>0.1</v>
      </c>
      <c r="L116" s="107">
        <v>0.1</v>
      </c>
      <c r="M116" s="65">
        <v>0.1</v>
      </c>
      <c r="N116" s="65">
        <v>0.1</v>
      </c>
    </row>
    <row r="117" spans="1:14" ht="12.75">
      <c r="A117" s="15" t="s">
        <v>94</v>
      </c>
      <c r="B117" s="16" t="s">
        <v>76</v>
      </c>
      <c r="C117" s="17">
        <v>1</v>
      </c>
      <c r="D117" s="31"/>
      <c r="E117" s="31"/>
      <c r="F117" s="31"/>
      <c r="G117" s="19"/>
      <c r="H117" s="65"/>
      <c r="I117" s="65"/>
      <c r="J117" s="65"/>
      <c r="K117" s="65"/>
      <c r="L117" s="107"/>
      <c r="M117" s="65"/>
      <c r="N117" s="65"/>
    </row>
    <row r="118" spans="1:14" ht="12.75">
      <c r="A118" s="15" t="s">
        <v>95</v>
      </c>
      <c r="B118" s="16" t="s">
        <v>76</v>
      </c>
      <c r="C118" s="17">
        <v>1</v>
      </c>
      <c r="D118" s="31"/>
      <c r="E118" s="31"/>
      <c r="F118" s="31"/>
      <c r="G118" s="19">
        <v>4.4189999999999996</v>
      </c>
      <c r="H118" s="65">
        <v>1.7101999999999999</v>
      </c>
      <c r="I118" s="65">
        <v>2.0712999999999999</v>
      </c>
      <c r="J118" s="65">
        <f>2.625+0.0485</f>
        <v>2.6735000000000002</v>
      </c>
      <c r="K118" s="65">
        <v>2.7</v>
      </c>
      <c r="L118" s="107">
        <v>1.7</v>
      </c>
      <c r="M118" s="65">
        <v>1.7</v>
      </c>
      <c r="N118" s="65">
        <v>1.7</v>
      </c>
    </row>
    <row r="119" spans="1:14" ht="12.75">
      <c r="A119" s="64" t="s">
        <v>96</v>
      </c>
      <c r="B119" s="16" t="s">
        <v>76</v>
      </c>
      <c r="C119" s="17">
        <v>1</v>
      </c>
      <c r="D119" s="31"/>
      <c r="E119" s="31"/>
      <c r="F119" s="31"/>
      <c r="G119" s="19">
        <v>8.8320000000000007</v>
      </c>
      <c r="H119" s="65">
        <f t="shared" ref="H119:N119" si="11">H120+H123+H122</f>
        <v>16.9895</v>
      </c>
      <c r="I119" s="65">
        <f t="shared" si="11"/>
        <v>20.0763</v>
      </c>
      <c r="J119" s="65">
        <f t="shared" si="11"/>
        <v>27.064900000000002</v>
      </c>
      <c r="K119" s="65">
        <f t="shared" si="11"/>
        <v>20.2</v>
      </c>
      <c r="L119" s="65">
        <f t="shared" si="11"/>
        <v>19.5</v>
      </c>
      <c r="M119" s="65">
        <f t="shared" si="11"/>
        <v>19.7</v>
      </c>
      <c r="N119" s="65">
        <f t="shared" si="11"/>
        <v>19.7</v>
      </c>
    </row>
    <row r="120" spans="1:14" ht="21">
      <c r="A120" s="15" t="s">
        <v>97</v>
      </c>
      <c r="B120" s="16" t="s">
        <v>76</v>
      </c>
      <c r="C120" s="17">
        <v>1</v>
      </c>
      <c r="D120" s="31"/>
      <c r="E120" s="31"/>
      <c r="F120" s="31"/>
      <c r="G120" s="19">
        <v>2.8450000000000002</v>
      </c>
      <c r="H120" s="65">
        <v>4.5770999999999997</v>
      </c>
      <c r="I120" s="65">
        <v>6.8810000000000002</v>
      </c>
      <c r="J120" s="65">
        <v>11.187900000000001</v>
      </c>
      <c r="K120" s="65">
        <v>6.1</v>
      </c>
      <c r="L120" s="107">
        <v>5.8</v>
      </c>
      <c r="M120" s="65">
        <v>5.8</v>
      </c>
      <c r="N120" s="65">
        <v>5.8</v>
      </c>
    </row>
    <row r="121" spans="1:14" ht="21">
      <c r="A121" s="15" t="s">
        <v>98</v>
      </c>
      <c r="B121" s="16" t="s">
        <v>76</v>
      </c>
      <c r="C121" s="17">
        <v>1</v>
      </c>
      <c r="D121" s="31"/>
      <c r="E121" s="31"/>
      <c r="F121" s="31"/>
      <c r="G121" s="19">
        <v>2.8450000000000002</v>
      </c>
      <c r="H121" s="65">
        <v>4.1000000000000002E-2</v>
      </c>
      <c r="I121" s="65">
        <v>6.8810000000000002</v>
      </c>
      <c r="J121" s="65">
        <v>6.2051999999999996</v>
      </c>
      <c r="K121" s="65">
        <v>6.1</v>
      </c>
      <c r="L121" s="107">
        <v>5.8</v>
      </c>
      <c r="M121" s="65">
        <v>5.8</v>
      </c>
      <c r="N121" s="65">
        <v>5.8</v>
      </c>
    </row>
    <row r="122" spans="1:14" ht="21">
      <c r="A122" s="15" t="s">
        <v>99</v>
      </c>
      <c r="B122" s="16" t="s">
        <v>76</v>
      </c>
      <c r="C122" s="17">
        <v>1</v>
      </c>
      <c r="D122" s="31"/>
      <c r="E122" s="31"/>
      <c r="F122" s="31"/>
      <c r="G122" s="19">
        <v>0.29599999999999999</v>
      </c>
      <c r="H122" s="65">
        <v>0.31369999999999998</v>
      </c>
      <c r="I122" s="65">
        <v>0.22059999999999999</v>
      </c>
      <c r="J122" s="65">
        <v>0.63049999999999995</v>
      </c>
      <c r="K122" s="65"/>
      <c r="L122" s="107"/>
      <c r="M122" s="65"/>
      <c r="N122" s="65"/>
    </row>
    <row r="123" spans="1:14" ht="12.75">
      <c r="A123" s="15" t="s">
        <v>100</v>
      </c>
      <c r="B123" s="16" t="s">
        <v>76</v>
      </c>
      <c r="C123" s="17">
        <v>1</v>
      </c>
      <c r="D123" s="31"/>
      <c r="E123" s="31"/>
      <c r="F123" s="31"/>
      <c r="G123" s="19">
        <v>50.691000000000003</v>
      </c>
      <c r="H123" s="65">
        <v>12.098699999999999</v>
      </c>
      <c r="I123" s="65">
        <v>12.9747</v>
      </c>
      <c r="J123" s="65">
        <v>15.246499999999999</v>
      </c>
      <c r="K123" s="65">
        <v>14.1</v>
      </c>
      <c r="L123" s="107">
        <v>13.7</v>
      </c>
      <c r="M123" s="65">
        <v>13.9</v>
      </c>
      <c r="N123" s="65">
        <v>13.9</v>
      </c>
    </row>
    <row r="124" spans="1:14" ht="12.75">
      <c r="A124" s="64" t="s">
        <v>101</v>
      </c>
      <c r="B124" s="16" t="s">
        <v>76</v>
      </c>
      <c r="C124" s="17">
        <v>1</v>
      </c>
      <c r="D124" s="31"/>
      <c r="E124" s="31"/>
      <c r="F124" s="31"/>
      <c r="G124" s="19">
        <v>542.91399999999999</v>
      </c>
      <c r="H124" s="65">
        <f t="shared" ref="H124:N124" si="12">H125+H126+H127+H128+H129</f>
        <v>548.47559999999999</v>
      </c>
      <c r="I124" s="65">
        <f t="shared" si="12"/>
        <v>611.0009</v>
      </c>
      <c r="J124" s="65">
        <f t="shared" si="12"/>
        <v>735.71140000000003</v>
      </c>
      <c r="K124" s="65">
        <f t="shared" si="12"/>
        <v>892.10080000000005</v>
      </c>
      <c r="L124" s="65">
        <f t="shared" si="12"/>
        <v>622.1</v>
      </c>
      <c r="M124" s="65">
        <f t="shared" si="12"/>
        <v>621.6</v>
      </c>
      <c r="N124" s="65">
        <f t="shared" si="12"/>
        <v>621.6</v>
      </c>
    </row>
    <row r="125" spans="1:14" ht="31.5" customHeight="1">
      <c r="A125" s="15" t="s">
        <v>102</v>
      </c>
      <c r="B125" s="16" t="s">
        <v>76</v>
      </c>
      <c r="C125" s="17">
        <v>1</v>
      </c>
      <c r="D125" s="31"/>
      <c r="E125" s="31"/>
      <c r="F125" s="31"/>
      <c r="G125" s="19">
        <v>154.71600000000001</v>
      </c>
      <c r="H125" s="65">
        <v>78.918999999999997</v>
      </c>
      <c r="I125" s="65">
        <v>108.893</v>
      </c>
      <c r="J125" s="65">
        <v>111.6469</v>
      </c>
      <c r="K125" s="65">
        <v>134.577</v>
      </c>
      <c r="L125" s="107">
        <v>86.6</v>
      </c>
      <c r="M125" s="65">
        <v>86.6</v>
      </c>
      <c r="N125" s="65">
        <v>86.6</v>
      </c>
    </row>
    <row r="126" spans="1:14" ht="21">
      <c r="A126" s="15" t="s">
        <v>103</v>
      </c>
      <c r="B126" s="16" t="s">
        <v>76</v>
      </c>
      <c r="C126" s="17">
        <v>1</v>
      </c>
      <c r="D126" s="31"/>
      <c r="E126" s="31"/>
      <c r="F126" s="31"/>
      <c r="G126" s="19">
        <v>305.596</v>
      </c>
      <c r="H126" s="65">
        <v>435.57319999999999</v>
      </c>
      <c r="I126" s="65">
        <v>452.89819999999997</v>
      </c>
      <c r="J126" s="65">
        <v>532.14790000000005</v>
      </c>
      <c r="K126" s="65">
        <v>579.87279999999998</v>
      </c>
      <c r="L126" s="107">
        <v>521.1</v>
      </c>
      <c r="M126" s="65">
        <v>520.6</v>
      </c>
      <c r="N126" s="65">
        <v>520.6</v>
      </c>
    </row>
    <row r="127" spans="1:14" ht="31.5">
      <c r="A127" s="15" t="s">
        <v>104</v>
      </c>
      <c r="B127" s="16" t="s">
        <v>76</v>
      </c>
      <c r="C127" s="17">
        <v>1</v>
      </c>
      <c r="D127" s="31"/>
      <c r="E127" s="31"/>
      <c r="F127" s="31"/>
      <c r="G127" s="19">
        <v>55.786999999999999</v>
      </c>
      <c r="H127" s="65"/>
      <c r="I127" s="65"/>
      <c r="J127" s="65"/>
      <c r="K127" s="65"/>
      <c r="L127" s="107"/>
      <c r="M127" s="65"/>
      <c r="N127" s="65"/>
    </row>
    <row r="128" spans="1:14" ht="12.75">
      <c r="A128" s="15" t="s">
        <v>105</v>
      </c>
      <c r="B128" s="16" t="s">
        <v>76</v>
      </c>
      <c r="C128" s="17">
        <v>1</v>
      </c>
      <c r="D128" s="31"/>
      <c r="E128" s="31"/>
      <c r="F128" s="31"/>
      <c r="G128" s="19">
        <v>17.294</v>
      </c>
      <c r="H128" s="65">
        <v>28.1997</v>
      </c>
      <c r="I128" s="65">
        <v>14.912800000000001</v>
      </c>
      <c r="J128" s="65">
        <v>69.283600000000007</v>
      </c>
      <c r="K128" s="65">
        <v>177.05099999999999</v>
      </c>
      <c r="L128" s="107">
        <v>14.4</v>
      </c>
      <c r="M128" s="65">
        <v>14.4</v>
      </c>
      <c r="N128" s="65">
        <v>14.4</v>
      </c>
    </row>
    <row r="129" spans="1:14" ht="12.75">
      <c r="A129" s="15" t="s">
        <v>106</v>
      </c>
      <c r="B129" s="16" t="s">
        <v>76</v>
      </c>
      <c r="C129" s="17"/>
      <c r="D129" s="31"/>
      <c r="E129" s="31"/>
      <c r="F129" s="31"/>
      <c r="G129" s="19">
        <v>549</v>
      </c>
      <c r="H129" s="65">
        <f>10.042-4.2583</f>
        <v>5.7836999999999996</v>
      </c>
      <c r="I129" s="65">
        <f>34.4024-0.1055</f>
        <v>34.296900000000001</v>
      </c>
      <c r="J129" s="65">
        <v>22.632999999999999</v>
      </c>
      <c r="K129" s="65">
        <v>0.6</v>
      </c>
      <c r="L129" s="107"/>
      <c r="M129" s="65"/>
      <c r="N129" s="65"/>
    </row>
    <row r="130" spans="1:14" ht="12.75">
      <c r="A130" s="15" t="s">
        <v>199</v>
      </c>
      <c r="B130" s="16"/>
      <c r="C130" s="17"/>
      <c r="D130" s="31"/>
      <c r="E130" s="31"/>
      <c r="F130" s="31"/>
      <c r="G130" s="19"/>
      <c r="H130" s="65"/>
      <c r="I130" s="65"/>
      <c r="J130" s="65"/>
      <c r="K130" s="65"/>
      <c r="L130" s="107"/>
      <c r="M130" s="65"/>
      <c r="N130" s="65"/>
    </row>
    <row r="131" spans="1:14" ht="12.75">
      <c r="A131" s="64" t="s">
        <v>107</v>
      </c>
      <c r="B131" s="16" t="s">
        <v>76</v>
      </c>
      <c r="C131" s="17">
        <v>1</v>
      </c>
      <c r="D131" s="31"/>
      <c r="E131" s="31"/>
      <c r="F131" s="31"/>
      <c r="G131" s="19">
        <v>584.072</v>
      </c>
      <c r="H131" s="21">
        <f>H132+H136+H141+H143+H144+H145+H146+H152</f>
        <v>667.39819999999997</v>
      </c>
      <c r="I131" s="65">
        <f t="shared" ref="I131:N131" si="13">I132+I136+I141+I143+I144+I145+I146+I152+I151</f>
        <v>717.56439999999986</v>
      </c>
      <c r="J131" s="65">
        <f t="shared" si="13"/>
        <v>849.6434999999999</v>
      </c>
      <c r="K131" s="65">
        <f t="shared" si="13"/>
        <v>1048.1876180000002</v>
      </c>
      <c r="L131" s="65">
        <f t="shared" si="13"/>
        <v>747.5</v>
      </c>
      <c r="M131" s="65">
        <f t="shared" si="13"/>
        <v>748.09999999999991</v>
      </c>
      <c r="N131" s="65">
        <f t="shared" si="13"/>
        <v>748.09999999999991</v>
      </c>
    </row>
    <row r="132" spans="1:14" ht="12.75">
      <c r="A132" s="15" t="s">
        <v>108</v>
      </c>
      <c r="B132" s="16" t="s">
        <v>76</v>
      </c>
      <c r="C132" s="17"/>
      <c r="D132" s="31"/>
      <c r="E132" s="31"/>
      <c r="F132" s="31"/>
      <c r="G132" s="19">
        <v>54.616</v>
      </c>
      <c r="H132" s="21">
        <v>73.954400000000007</v>
      </c>
      <c r="I132" s="65">
        <v>77.946600000000004</v>
      </c>
      <c r="J132" s="65">
        <v>88.537199999999999</v>
      </c>
      <c r="K132" s="65">
        <v>100.74</v>
      </c>
      <c r="L132" s="107">
        <v>84.2</v>
      </c>
      <c r="M132" s="65">
        <v>84</v>
      </c>
      <c r="N132" s="65">
        <v>84</v>
      </c>
    </row>
    <row r="133" spans="1:14" ht="21">
      <c r="A133" s="15" t="s">
        <v>109</v>
      </c>
      <c r="B133" s="16" t="s">
        <v>76</v>
      </c>
      <c r="C133" s="17">
        <v>1</v>
      </c>
      <c r="D133" s="31"/>
      <c r="E133" s="31"/>
      <c r="F133" s="31"/>
      <c r="G133" s="19">
        <v>1.446</v>
      </c>
      <c r="H133" s="21">
        <v>0.89859999999999995</v>
      </c>
      <c r="I133" s="65">
        <v>1.6356999999999999</v>
      </c>
      <c r="J133" s="65">
        <v>1.6195999999999999</v>
      </c>
      <c r="K133" s="65">
        <v>2.4729999999999999</v>
      </c>
      <c r="L133" s="107">
        <v>2</v>
      </c>
      <c r="M133" s="65">
        <v>2</v>
      </c>
      <c r="N133" s="65">
        <v>2</v>
      </c>
    </row>
    <row r="134" spans="1:14" ht="12.75">
      <c r="A134" s="15" t="s">
        <v>110</v>
      </c>
      <c r="B134" s="16" t="s">
        <v>76</v>
      </c>
      <c r="C134" s="17">
        <v>1</v>
      </c>
      <c r="D134" s="31"/>
      <c r="E134" s="31"/>
      <c r="F134" s="31"/>
      <c r="G134" s="19">
        <v>34.590000000000003</v>
      </c>
      <c r="H134" s="21">
        <v>36.111499999999999</v>
      </c>
      <c r="I134" s="65">
        <v>44.093600000000002</v>
      </c>
      <c r="J134" s="65">
        <v>49.707000000000001</v>
      </c>
      <c r="K134" s="65">
        <v>53.3</v>
      </c>
      <c r="L134" s="107">
        <v>52.1</v>
      </c>
      <c r="M134" s="65">
        <v>52.1</v>
      </c>
      <c r="N134" s="65">
        <v>52.1</v>
      </c>
    </row>
    <row r="135" spans="1:14" ht="21">
      <c r="A135" s="15" t="s">
        <v>111</v>
      </c>
      <c r="B135" s="16" t="s">
        <v>76</v>
      </c>
      <c r="C135" s="17"/>
      <c r="D135" s="31"/>
      <c r="E135" s="31"/>
      <c r="F135" s="31"/>
      <c r="G135" s="19">
        <v>0</v>
      </c>
      <c r="H135" s="21"/>
      <c r="I135" s="65"/>
      <c r="J135" s="65"/>
      <c r="K135" s="65"/>
      <c r="L135" s="107"/>
      <c r="M135" s="65"/>
      <c r="N135" s="65"/>
    </row>
    <row r="136" spans="1:14" ht="12.75">
      <c r="A136" s="15" t="s">
        <v>112</v>
      </c>
      <c r="B136" s="16" t="s">
        <v>76</v>
      </c>
      <c r="C136" s="17">
        <v>1</v>
      </c>
      <c r="D136" s="31"/>
      <c r="E136" s="31"/>
      <c r="F136" s="31"/>
      <c r="G136" s="19">
        <v>10.532999999999999</v>
      </c>
      <c r="H136" s="21">
        <f>H137+H138+H139+H140</f>
        <v>17.379100000000001</v>
      </c>
      <c r="I136" s="21">
        <v>14.0367</v>
      </c>
      <c r="J136" s="21">
        <v>20.558299999999999</v>
      </c>
      <c r="K136" s="65">
        <v>33.088341</v>
      </c>
      <c r="L136" s="107">
        <v>14.5</v>
      </c>
      <c r="M136" s="65">
        <v>14.8</v>
      </c>
      <c r="N136" s="65">
        <v>14.8</v>
      </c>
    </row>
    <row r="137" spans="1:14" ht="12.75">
      <c r="A137" s="15" t="s">
        <v>113</v>
      </c>
      <c r="B137" s="16" t="s">
        <v>76</v>
      </c>
      <c r="C137" s="17">
        <v>1</v>
      </c>
      <c r="D137" s="31"/>
      <c r="E137" s="31"/>
      <c r="F137" s="31"/>
      <c r="G137" s="19"/>
      <c r="H137" s="21"/>
      <c r="I137" s="65"/>
      <c r="J137" s="65"/>
      <c r="K137" s="65"/>
      <c r="L137" s="107"/>
      <c r="M137" s="65"/>
      <c r="N137" s="65"/>
    </row>
    <row r="138" spans="1:14" ht="12.75">
      <c r="A138" s="15" t="s">
        <v>114</v>
      </c>
      <c r="B138" s="16" t="s">
        <v>76</v>
      </c>
      <c r="C138" s="17">
        <v>1</v>
      </c>
      <c r="D138" s="31"/>
      <c r="E138" s="31"/>
      <c r="F138" s="31"/>
      <c r="G138" s="19">
        <v>10.532999999999999</v>
      </c>
      <c r="H138" s="21">
        <v>2.7629999999999999</v>
      </c>
      <c r="I138" s="65">
        <v>2.8959999999999999</v>
      </c>
      <c r="J138" s="65">
        <v>3.1030000000000002</v>
      </c>
      <c r="K138" s="65">
        <v>3.22</v>
      </c>
      <c r="L138" s="107">
        <v>3.1</v>
      </c>
      <c r="M138" s="65">
        <v>3.1</v>
      </c>
      <c r="N138" s="65">
        <v>3.1</v>
      </c>
    </row>
    <row r="139" spans="1:14" ht="12.75">
      <c r="A139" s="15" t="s">
        <v>115</v>
      </c>
      <c r="B139" s="16" t="s">
        <v>76</v>
      </c>
      <c r="C139" s="17">
        <v>1</v>
      </c>
      <c r="D139" s="31"/>
      <c r="E139" s="31"/>
      <c r="F139" s="31"/>
      <c r="G139" s="19"/>
      <c r="H139" s="65"/>
      <c r="I139" s="21"/>
      <c r="J139" s="65">
        <v>14.6236</v>
      </c>
      <c r="K139" s="65">
        <v>25.406490999999999</v>
      </c>
      <c r="L139" s="107"/>
      <c r="M139" s="65"/>
      <c r="N139" s="65"/>
    </row>
    <row r="140" spans="1:14" ht="12.75">
      <c r="A140" s="15" t="s">
        <v>116</v>
      </c>
      <c r="B140" s="16" t="s">
        <v>76</v>
      </c>
      <c r="C140" s="17">
        <v>1</v>
      </c>
      <c r="D140" s="31"/>
      <c r="E140" s="31"/>
      <c r="F140" s="31"/>
      <c r="G140" s="19"/>
      <c r="H140" s="21">
        <v>14.616099999999999</v>
      </c>
      <c r="I140" s="65">
        <v>2.2761</v>
      </c>
      <c r="J140" s="65">
        <v>2.8317000000000001</v>
      </c>
      <c r="K140" s="65">
        <v>4.5</v>
      </c>
      <c r="L140" s="107">
        <v>2.9</v>
      </c>
      <c r="M140" s="65">
        <v>2.8</v>
      </c>
      <c r="N140" s="65">
        <v>2.8</v>
      </c>
    </row>
    <row r="141" spans="1:14" ht="12.75">
      <c r="A141" s="15" t="s">
        <v>117</v>
      </c>
      <c r="B141" s="16" t="s">
        <v>76</v>
      </c>
      <c r="C141" s="17">
        <v>1</v>
      </c>
      <c r="D141" s="31"/>
      <c r="E141" s="31"/>
      <c r="F141" s="31"/>
      <c r="G141" s="19">
        <v>18.646999999999998</v>
      </c>
      <c r="H141" s="21">
        <v>17.293900000000001</v>
      </c>
      <c r="I141" s="65">
        <v>18.166499999999999</v>
      </c>
      <c r="J141" s="65">
        <v>27.209599999999998</v>
      </c>
      <c r="K141" s="65">
        <v>63.4</v>
      </c>
      <c r="L141" s="107">
        <v>2.7</v>
      </c>
      <c r="M141" s="65">
        <v>3.6</v>
      </c>
      <c r="N141" s="65">
        <v>3.6</v>
      </c>
    </row>
    <row r="142" spans="1:14" ht="12.75">
      <c r="A142" s="15" t="s">
        <v>118</v>
      </c>
      <c r="B142" s="16" t="s">
        <v>76</v>
      </c>
      <c r="C142" s="17">
        <v>1</v>
      </c>
      <c r="D142" s="31"/>
      <c r="E142" s="31"/>
      <c r="F142" s="31"/>
      <c r="G142" s="19"/>
      <c r="H142" s="21"/>
      <c r="I142" s="65"/>
      <c r="J142" s="65"/>
      <c r="K142" s="65"/>
      <c r="L142" s="107"/>
      <c r="M142" s="65"/>
      <c r="N142" s="65"/>
    </row>
    <row r="143" spans="1:14" ht="12.75">
      <c r="A143" s="15" t="s">
        <v>119</v>
      </c>
      <c r="B143" s="16" t="s">
        <v>76</v>
      </c>
      <c r="C143" s="17">
        <v>1</v>
      </c>
      <c r="D143" s="31"/>
      <c r="E143" s="31"/>
      <c r="F143" s="31"/>
      <c r="G143" s="19">
        <v>368.57799999999997</v>
      </c>
      <c r="H143" s="21">
        <v>501.36630000000002</v>
      </c>
      <c r="I143" s="65">
        <v>529.88400000000001</v>
      </c>
      <c r="J143" s="65">
        <v>641.43619999999999</v>
      </c>
      <c r="K143" s="65">
        <v>782.58067700000004</v>
      </c>
      <c r="L143" s="107">
        <v>601.4</v>
      </c>
      <c r="M143" s="65">
        <v>601.4</v>
      </c>
      <c r="N143" s="65">
        <v>601.4</v>
      </c>
    </row>
    <row r="144" spans="1:14" ht="21">
      <c r="A144" s="15" t="s">
        <v>120</v>
      </c>
      <c r="B144" s="16" t="s">
        <v>76</v>
      </c>
      <c r="C144" s="17">
        <v>1</v>
      </c>
      <c r="D144" s="31"/>
      <c r="E144" s="31"/>
      <c r="F144" s="31"/>
      <c r="G144" s="19">
        <v>8.9909999999999997</v>
      </c>
      <c r="H144" s="21">
        <v>22.4054</v>
      </c>
      <c r="I144" s="65">
        <v>23.758800000000001</v>
      </c>
      <c r="J144" s="65">
        <v>18.284600000000001</v>
      </c>
      <c r="K144" s="65">
        <v>29.1</v>
      </c>
      <c r="L144" s="107">
        <v>17.2</v>
      </c>
      <c r="M144" s="65">
        <v>17.2</v>
      </c>
      <c r="N144" s="65">
        <v>17.2</v>
      </c>
    </row>
    <row r="145" spans="1:14" ht="12.75">
      <c r="A145" s="15" t="s">
        <v>121</v>
      </c>
      <c r="B145" s="16" t="s">
        <v>76</v>
      </c>
      <c r="C145" s="17">
        <v>1</v>
      </c>
      <c r="D145" s="31"/>
      <c r="E145" s="31"/>
      <c r="F145" s="31"/>
      <c r="G145" s="19">
        <v>61.433999999999997</v>
      </c>
      <c r="H145" s="21">
        <v>19.287500000000001</v>
      </c>
      <c r="I145" s="65">
        <v>32.686799999999998</v>
      </c>
      <c r="J145" s="65"/>
      <c r="K145" s="65">
        <v>15.1</v>
      </c>
      <c r="L145" s="107">
        <v>2.5</v>
      </c>
      <c r="M145" s="65">
        <v>2.5</v>
      </c>
      <c r="N145" s="65">
        <v>2.5</v>
      </c>
    </row>
    <row r="146" spans="1:14" ht="12.75">
      <c r="A146" s="15" t="s">
        <v>122</v>
      </c>
      <c r="B146" s="16" t="s">
        <v>76</v>
      </c>
      <c r="C146" s="17">
        <v>1</v>
      </c>
      <c r="D146" s="31"/>
      <c r="E146" s="31"/>
      <c r="F146" s="31"/>
      <c r="G146" s="19">
        <v>40.642000000000003</v>
      </c>
      <c r="H146" s="21">
        <f>H147+H148+H149+H150</f>
        <v>10.412500000000001</v>
      </c>
      <c r="I146" s="65">
        <v>12.8584</v>
      </c>
      <c r="J146" s="65">
        <v>9.8859999999999992</v>
      </c>
      <c r="K146" s="65">
        <v>10.778600000000001</v>
      </c>
      <c r="L146" s="107">
        <v>14.3</v>
      </c>
      <c r="M146" s="65">
        <v>14.3</v>
      </c>
      <c r="N146" s="65">
        <v>14.3</v>
      </c>
    </row>
    <row r="147" spans="1:14" ht="12.75">
      <c r="A147" s="15" t="s">
        <v>123</v>
      </c>
      <c r="B147" s="16" t="s">
        <v>76</v>
      </c>
      <c r="C147" s="17"/>
      <c r="D147" s="31"/>
      <c r="E147" s="31"/>
      <c r="F147" s="31"/>
      <c r="G147" s="19"/>
      <c r="H147" s="21"/>
      <c r="I147" s="65"/>
      <c r="J147" s="65"/>
      <c r="K147" s="65"/>
      <c r="L147" s="107"/>
      <c r="M147" s="65"/>
      <c r="N147" s="65"/>
    </row>
    <row r="148" spans="1:14" ht="12.75">
      <c r="A148" s="15" t="s">
        <v>124</v>
      </c>
      <c r="B148" s="16" t="s">
        <v>76</v>
      </c>
      <c r="C148" s="17">
        <v>1</v>
      </c>
      <c r="D148" s="31"/>
      <c r="E148" s="31"/>
      <c r="F148" s="31"/>
      <c r="G148" s="19">
        <v>30.803000000000001</v>
      </c>
      <c r="H148" s="21">
        <v>0.2145</v>
      </c>
      <c r="I148" s="65">
        <v>0.20680000000000001</v>
      </c>
      <c r="J148" s="65">
        <v>0.20669999999999999</v>
      </c>
      <c r="K148" s="65">
        <v>0.26300000000000001</v>
      </c>
      <c r="L148" s="107">
        <v>0.3</v>
      </c>
      <c r="M148" s="65">
        <v>0.3</v>
      </c>
      <c r="N148" s="65">
        <v>0.3</v>
      </c>
    </row>
    <row r="149" spans="1:14" ht="12.75">
      <c r="A149" s="15" t="s">
        <v>125</v>
      </c>
      <c r="B149" s="16" t="s">
        <v>76</v>
      </c>
      <c r="C149" s="17">
        <v>1</v>
      </c>
      <c r="D149" s="31"/>
      <c r="E149" s="31"/>
      <c r="F149" s="31"/>
      <c r="G149" s="19">
        <v>9.8390000000000004</v>
      </c>
      <c r="H149" s="21">
        <v>5.6694000000000004</v>
      </c>
      <c r="I149" s="65">
        <v>7.0266000000000002</v>
      </c>
      <c r="J149" s="65">
        <v>5.6897000000000002</v>
      </c>
      <c r="K149" s="65">
        <v>5.4</v>
      </c>
      <c r="L149" s="107">
        <v>5.4</v>
      </c>
      <c r="M149" s="65">
        <v>5.4</v>
      </c>
      <c r="N149" s="65">
        <v>5.4</v>
      </c>
    </row>
    <row r="150" spans="1:14" ht="12.75">
      <c r="A150" s="15" t="s">
        <v>126</v>
      </c>
      <c r="B150" s="16" t="s">
        <v>76</v>
      </c>
      <c r="C150" s="17">
        <v>1</v>
      </c>
      <c r="D150" s="31"/>
      <c r="E150" s="31"/>
      <c r="F150" s="31"/>
      <c r="G150" s="19">
        <v>0</v>
      </c>
      <c r="H150" s="21">
        <v>4.5286</v>
      </c>
      <c r="I150" s="65">
        <v>5.625</v>
      </c>
      <c r="J150" s="65">
        <v>3.9895999999999998</v>
      </c>
      <c r="K150" s="65">
        <v>5.0999999999999996</v>
      </c>
      <c r="L150" s="107">
        <v>0.2</v>
      </c>
      <c r="M150" s="65">
        <v>0.2</v>
      </c>
      <c r="N150" s="65">
        <v>0.2</v>
      </c>
    </row>
    <row r="151" spans="1:14" ht="31.5">
      <c r="A151" s="15" t="s">
        <v>127</v>
      </c>
      <c r="B151" s="16" t="s">
        <v>76</v>
      </c>
      <c r="C151" s="17"/>
      <c r="D151" s="31"/>
      <c r="E151" s="31"/>
      <c r="F151" s="31"/>
      <c r="G151" s="19"/>
      <c r="H151" s="21"/>
      <c r="I151" s="65"/>
      <c r="J151" s="65"/>
      <c r="K151" s="65"/>
      <c r="L151" s="107"/>
      <c r="M151" s="65"/>
      <c r="N151" s="65"/>
    </row>
    <row r="152" spans="1:14" ht="12.75">
      <c r="A152" s="15" t="s">
        <v>128</v>
      </c>
      <c r="B152" s="16" t="s">
        <v>76</v>
      </c>
      <c r="C152" s="17"/>
      <c r="D152" s="31"/>
      <c r="E152" s="31"/>
      <c r="F152" s="31"/>
      <c r="G152" s="19">
        <v>20.631</v>
      </c>
      <c r="H152" s="21">
        <v>5.2991000000000001</v>
      </c>
      <c r="I152" s="65">
        <v>8.2265999999999995</v>
      </c>
      <c r="J152" s="65">
        <v>43.7316</v>
      </c>
      <c r="K152" s="65">
        <v>13.4</v>
      </c>
      <c r="L152" s="107">
        <v>10.7</v>
      </c>
      <c r="M152" s="65">
        <v>10.3</v>
      </c>
      <c r="N152" s="65">
        <v>10.3</v>
      </c>
    </row>
    <row r="153" spans="1:14" ht="12.75">
      <c r="A153" s="15" t="s">
        <v>129</v>
      </c>
      <c r="B153" s="16" t="s">
        <v>76</v>
      </c>
      <c r="C153" s="17"/>
      <c r="D153" s="31"/>
      <c r="E153" s="31"/>
      <c r="F153" s="31"/>
      <c r="G153" s="19">
        <v>13.289</v>
      </c>
      <c r="H153" s="1">
        <f>H103-H131</f>
        <v>-572.66909999999996</v>
      </c>
      <c r="I153" s="65">
        <f>I102-I131</f>
        <v>11.125700000000165</v>
      </c>
      <c r="J153" s="65">
        <v>25.661000000000001</v>
      </c>
      <c r="K153" s="65">
        <v>-20.9</v>
      </c>
      <c r="L153" s="107">
        <v>0</v>
      </c>
      <c r="M153" s="65">
        <v>0</v>
      </c>
      <c r="N153" s="65">
        <v>0</v>
      </c>
    </row>
    <row r="154" spans="1:14" ht="12.75">
      <c r="A154" s="15" t="s">
        <v>130</v>
      </c>
      <c r="B154" s="16" t="s">
        <v>76</v>
      </c>
      <c r="C154" s="17"/>
      <c r="D154" s="31"/>
      <c r="E154" s="31"/>
      <c r="F154" s="31"/>
      <c r="G154" s="19">
        <v>0</v>
      </c>
      <c r="H154" s="21"/>
      <c r="I154" s="65">
        <v>0</v>
      </c>
      <c r="J154" s="65"/>
      <c r="K154" s="65"/>
      <c r="L154" s="107"/>
      <c r="M154" s="65"/>
      <c r="N154" s="65"/>
    </row>
    <row r="155" spans="1:14" ht="28.5">
      <c r="A155" s="63" t="s">
        <v>131</v>
      </c>
      <c r="B155" s="34"/>
      <c r="C155" s="17"/>
      <c r="D155" s="31"/>
      <c r="E155" s="31"/>
      <c r="F155" s="31"/>
      <c r="G155" s="67"/>
      <c r="H155" s="65"/>
      <c r="I155" s="65"/>
      <c r="J155" s="65"/>
      <c r="K155" s="65"/>
      <c r="L155" s="107"/>
      <c r="M155" s="65"/>
      <c r="N155" s="14"/>
    </row>
    <row r="156" spans="1:14" ht="12.75">
      <c r="A156" s="114" t="s">
        <v>132</v>
      </c>
      <c r="B156" s="16" t="s">
        <v>76</v>
      </c>
      <c r="C156" s="115">
        <v>1</v>
      </c>
      <c r="D156" s="116"/>
      <c r="E156" s="116"/>
      <c r="F156" s="116"/>
      <c r="G156" s="117">
        <f t="shared" ref="G156:N156" si="14">G158+G159+G160+G164+G165</f>
        <v>7231.19</v>
      </c>
      <c r="H156" s="66">
        <f>H158+H159+H160+H164+H165</f>
        <v>8787.5383999999995</v>
      </c>
      <c r="I156" s="66">
        <f>I158+I159+I160+I164+I165</f>
        <v>9919.8757000000005</v>
      </c>
      <c r="J156" s="66">
        <f>J158+J159+J160+J164+J165</f>
        <v>10315.9355</v>
      </c>
      <c r="K156" s="126">
        <f>K158+K159+K160+K164+K165</f>
        <v>11392.18</v>
      </c>
      <c r="L156" s="118">
        <f t="shared" si="14"/>
        <v>12174.159894</v>
      </c>
      <c r="M156" s="66">
        <f t="shared" si="14"/>
        <v>12499.79197518</v>
      </c>
      <c r="N156" s="66">
        <f t="shared" si="14"/>
        <v>12846.366376889404</v>
      </c>
    </row>
    <row r="157" spans="1:14" ht="12.75">
      <c r="A157" s="15" t="s">
        <v>28</v>
      </c>
      <c r="B157" s="16"/>
      <c r="C157" s="17"/>
      <c r="D157" s="31"/>
      <c r="E157" s="31"/>
      <c r="F157" s="31"/>
      <c r="G157" s="19"/>
      <c r="H157" s="65"/>
      <c r="I157" s="65"/>
      <c r="J157" s="65"/>
      <c r="K157" s="65"/>
      <c r="L157" s="107"/>
      <c r="M157" s="67"/>
      <c r="N157" s="14"/>
    </row>
    <row r="158" spans="1:14" ht="12.75">
      <c r="A158" s="36" t="s">
        <v>133</v>
      </c>
      <c r="B158" s="16" t="s">
        <v>76</v>
      </c>
      <c r="C158" s="17">
        <v>1</v>
      </c>
      <c r="D158" s="31"/>
      <c r="E158" s="31"/>
      <c r="F158" s="31"/>
      <c r="G158" s="19">
        <v>5007.3</v>
      </c>
      <c r="H158" s="65">
        <v>5392.6679999999997</v>
      </c>
      <c r="I158" s="65">
        <v>5662.3010000000004</v>
      </c>
      <c r="J158" s="65">
        <v>5945.4165000000003</v>
      </c>
      <c r="K158" s="65">
        <v>6758.1</v>
      </c>
      <c r="L158" s="107">
        <f>J158*1.3</f>
        <v>7729.0414500000006</v>
      </c>
      <c r="M158" s="65">
        <f>L158*1.03</f>
        <v>7960.9126935000013</v>
      </c>
      <c r="N158" s="65">
        <f>M158*1.03</f>
        <v>8199.7400743050021</v>
      </c>
    </row>
    <row r="159" spans="1:14" ht="12.75">
      <c r="A159" s="36" t="s">
        <v>134</v>
      </c>
      <c r="B159" s="16" t="s">
        <v>76</v>
      </c>
      <c r="C159" s="17">
        <v>1</v>
      </c>
      <c r="D159" s="31"/>
      <c r="E159" s="31"/>
      <c r="F159" s="31"/>
      <c r="G159" s="19">
        <v>422.3</v>
      </c>
      <c r="H159" s="65">
        <v>664.88660000000004</v>
      </c>
      <c r="I159" s="65">
        <v>698.13099999999997</v>
      </c>
      <c r="J159" s="65">
        <v>898.65480000000002</v>
      </c>
      <c r="K159" s="65">
        <v>902.98</v>
      </c>
      <c r="L159" s="107">
        <v>899.1</v>
      </c>
      <c r="M159" s="65">
        <f>L159*1.02</f>
        <v>917.08199999999999</v>
      </c>
      <c r="N159" s="65">
        <f>M159*1.02</f>
        <v>935.42363999999998</v>
      </c>
    </row>
    <row r="160" spans="1:14" ht="12.75">
      <c r="A160" s="36" t="s">
        <v>135</v>
      </c>
      <c r="B160" s="16" t="s">
        <v>76</v>
      </c>
      <c r="C160" s="17">
        <v>1</v>
      </c>
      <c r="D160" s="31"/>
      <c r="E160" s="31"/>
      <c r="F160" s="31"/>
      <c r="G160" s="19">
        <v>1529.4</v>
      </c>
      <c r="H160" s="65">
        <f>H161+H162+H163</f>
        <v>2549.8578000000002</v>
      </c>
      <c r="I160" s="65">
        <f t="shared" ref="I160:N160" si="15">I161+I162+I163</f>
        <v>3218.5657000000001</v>
      </c>
      <c r="J160" s="65">
        <f t="shared" si="15"/>
        <v>3000.1682000000001</v>
      </c>
      <c r="K160" s="65">
        <v>3250</v>
      </c>
      <c r="L160" s="65">
        <f t="shared" si="15"/>
        <v>3060.1715640000002</v>
      </c>
      <c r="M160" s="65">
        <f t="shared" si="15"/>
        <v>3121.3749952799999</v>
      </c>
      <c r="N160" s="65">
        <f t="shared" si="15"/>
        <v>3210.7803761844002</v>
      </c>
    </row>
    <row r="161" spans="1:14" ht="12.75">
      <c r="A161" s="61" t="s">
        <v>136</v>
      </c>
      <c r="B161" s="16" t="s">
        <v>76</v>
      </c>
      <c r="C161" s="17">
        <v>1</v>
      </c>
      <c r="D161" s="31"/>
      <c r="E161" s="31"/>
      <c r="F161" s="31"/>
      <c r="G161" s="19">
        <v>1241.5</v>
      </c>
      <c r="H161" s="65">
        <v>2194.9259000000002</v>
      </c>
      <c r="I161" s="65">
        <v>2754.7334000000001</v>
      </c>
      <c r="J161" s="65">
        <v>2593.0297</v>
      </c>
      <c r="K161" s="65">
        <v>2700</v>
      </c>
      <c r="L161" s="107">
        <f>J161*1.02</f>
        <v>2644.8902940000003</v>
      </c>
      <c r="M161" s="65">
        <f>L161*1.02</f>
        <v>2697.7880998800001</v>
      </c>
      <c r="N161" s="65">
        <f>M161*1.03</f>
        <v>2778.7217428764002</v>
      </c>
    </row>
    <row r="162" spans="1:14" ht="12.75">
      <c r="A162" s="61" t="s">
        <v>137</v>
      </c>
      <c r="B162" s="16" t="s">
        <v>76</v>
      </c>
      <c r="C162" s="17">
        <v>1</v>
      </c>
      <c r="D162" s="31"/>
      <c r="E162" s="31"/>
      <c r="F162" s="31"/>
      <c r="G162" s="19">
        <v>287.89999999999998</v>
      </c>
      <c r="H162" s="65">
        <v>354.93189999999998</v>
      </c>
      <c r="I162" s="65">
        <v>463.83229999999998</v>
      </c>
      <c r="J162" s="65">
        <v>407.13850000000002</v>
      </c>
      <c r="K162" s="65">
        <v>410.01</v>
      </c>
      <c r="L162" s="107">
        <f>J162*1.02</f>
        <v>415.28127000000001</v>
      </c>
      <c r="M162" s="65">
        <f>L162*1.02</f>
        <v>423.5868954</v>
      </c>
      <c r="N162" s="65">
        <f>M162*1.02</f>
        <v>432.05863330800003</v>
      </c>
    </row>
    <row r="163" spans="1:14" ht="12.75">
      <c r="A163" s="61" t="s">
        <v>138</v>
      </c>
      <c r="B163" s="16" t="s">
        <v>76</v>
      </c>
      <c r="C163" s="17">
        <v>1</v>
      </c>
      <c r="D163" s="31"/>
      <c r="E163" s="31"/>
      <c r="F163" s="31"/>
      <c r="G163" s="19"/>
      <c r="H163" s="65">
        <f t="shared" ref="H163:N163" si="16">G163*1.05</f>
        <v>0</v>
      </c>
      <c r="I163" s="65">
        <f t="shared" si="16"/>
        <v>0</v>
      </c>
      <c r="J163" s="65">
        <f t="shared" si="16"/>
        <v>0</v>
      </c>
      <c r="K163" s="65">
        <f t="shared" si="16"/>
        <v>0</v>
      </c>
      <c r="L163" s="65">
        <f t="shared" si="16"/>
        <v>0</v>
      </c>
      <c r="M163" s="65">
        <f t="shared" si="16"/>
        <v>0</v>
      </c>
      <c r="N163" s="65">
        <f t="shared" si="16"/>
        <v>0</v>
      </c>
    </row>
    <row r="164" spans="1:14" ht="12.75">
      <c r="A164" s="36" t="s">
        <v>139</v>
      </c>
      <c r="B164" s="16" t="s">
        <v>76</v>
      </c>
      <c r="C164" s="17">
        <v>1</v>
      </c>
      <c r="D164" s="31"/>
      <c r="E164" s="31"/>
      <c r="F164" s="31"/>
      <c r="G164" s="19">
        <v>25.08</v>
      </c>
      <c r="H164" s="65">
        <v>0</v>
      </c>
      <c r="I164" s="65">
        <v>0</v>
      </c>
      <c r="J164" s="65">
        <v>0</v>
      </c>
      <c r="K164" s="65">
        <v>0</v>
      </c>
      <c r="L164" s="65">
        <v>0</v>
      </c>
      <c r="M164" s="65">
        <v>0</v>
      </c>
      <c r="N164" s="65">
        <v>0</v>
      </c>
    </row>
    <row r="165" spans="1:14" ht="12.75">
      <c r="A165" s="36" t="s">
        <v>140</v>
      </c>
      <c r="B165" s="16" t="s">
        <v>76</v>
      </c>
      <c r="C165" s="17">
        <v>1</v>
      </c>
      <c r="D165" s="31"/>
      <c r="E165" s="31"/>
      <c r="F165" s="31"/>
      <c r="G165" s="19">
        <f>0.92+109.47+136.72</f>
        <v>247.11</v>
      </c>
      <c r="H165" s="65">
        <f>122.566+57.56</f>
        <v>180.126</v>
      </c>
      <c r="I165" s="65">
        <f>125.422+215.456</f>
        <v>340.87799999999999</v>
      </c>
      <c r="J165" s="65">
        <f>175.281+296.415</f>
        <v>471.69600000000003</v>
      </c>
      <c r="K165" s="65">
        <v>481.1</v>
      </c>
      <c r="L165" s="107">
        <f>J165*1.03</f>
        <v>485.84688000000006</v>
      </c>
      <c r="M165" s="65">
        <f>L165*1.03</f>
        <v>500.42228640000008</v>
      </c>
      <c r="N165" s="65">
        <f>L165*1.03</f>
        <v>500.42228640000008</v>
      </c>
    </row>
    <row r="166" spans="1:14" ht="21">
      <c r="A166" s="15" t="s">
        <v>141</v>
      </c>
      <c r="B166" s="16" t="s">
        <v>142</v>
      </c>
      <c r="C166" s="17">
        <v>1</v>
      </c>
      <c r="D166" s="31"/>
      <c r="E166" s="31"/>
      <c r="F166" s="31"/>
      <c r="G166" s="19">
        <f>G156/G7/12*1000</f>
        <v>9552.9354259141837</v>
      </c>
      <c r="H166" s="65">
        <v>10536.3</v>
      </c>
      <c r="I166" s="65">
        <v>10902.8</v>
      </c>
      <c r="J166" s="65">
        <f>J156/J7/12*1000</f>
        <v>12055.269831253212</v>
      </c>
      <c r="K166" s="65">
        <f>K156/K7/12*1000</f>
        <v>13147.047961962793</v>
      </c>
      <c r="L166" s="65">
        <f>L156/L7/12*1000</f>
        <v>13876.532957187797</v>
      </c>
      <c r="M166" s="65">
        <f>M156/M7/12*1000</f>
        <v>14068.737591369527</v>
      </c>
      <c r="N166" s="65">
        <f>N156/N7/12*1000</f>
        <v>14269.935102738602</v>
      </c>
    </row>
    <row r="167" spans="1:14" ht="12.75">
      <c r="A167" s="114" t="s">
        <v>143</v>
      </c>
      <c r="B167" s="16" t="s">
        <v>76</v>
      </c>
      <c r="C167" s="115">
        <v>1</v>
      </c>
      <c r="D167" s="116"/>
      <c r="E167" s="116"/>
      <c r="F167" s="116"/>
      <c r="G167" s="117">
        <f t="shared" ref="G167:N167" si="17">G169+G171+G172</f>
        <v>6914.0800000000008</v>
      </c>
      <c r="H167" s="66">
        <f t="shared" si="17"/>
        <v>8759.6420300000009</v>
      </c>
      <c r="I167" s="66">
        <f t="shared" si="17"/>
        <v>9196.3890100000008</v>
      </c>
      <c r="J167" s="66">
        <f t="shared" si="17"/>
        <v>9922.9824000000008</v>
      </c>
      <c r="K167" s="66">
        <f t="shared" si="17"/>
        <v>10775.969964</v>
      </c>
      <c r="L167" s="66">
        <f t="shared" si="17"/>
        <v>11818.2</v>
      </c>
      <c r="M167" s="66">
        <f t="shared" si="17"/>
        <v>12071.436</v>
      </c>
      <c r="N167" s="66">
        <f t="shared" si="17"/>
        <v>12608.139080000001</v>
      </c>
    </row>
    <row r="168" spans="1:14" ht="12.75">
      <c r="A168" s="15" t="s">
        <v>28</v>
      </c>
      <c r="B168" s="16" t="s">
        <v>144</v>
      </c>
      <c r="C168" s="17"/>
      <c r="D168" s="31"/>
      <c r="E168" s="31"/>
      <c r="F168" s="31"/>
      <c r="G168" s="19"/>
      <c r="H168" s="65"/>
      <c r="I168" s="65"/>
      <c r="J168" s="65"/>
      <c r="K168" s="65"/>
      <c r="L168" s="107"/>
      <c r="M168" s="65"/>
      <c r="N168" s="14"/>
    </row>
    <row r="169" spans="1:14" ht="12.75">
      <c r="A169" s="36" t="s">
        <v>145</v>
      </c>
      <c r="B169" s="16" t="s">
        <v>76</v>
      </c>
      <c r="C169" s="17">
        <v>1</v>
      </c>
      <c r="D169" s="31"/>
      <c r="E169" s="31"/>
      <c r="F169" s="31"/>
      <c r="G169" s="19">
        <f>6143.1+521.18</f>
        <v>6664.2800000000007</v>
      </c>
      <c r="H169" s="65">
        <f>5450.503+888.989</f>
        <v>6339.4920000000002</v>
      </c>
      <c r="I169" s="65">
        <f>5901.551+982.468</f>
        <v>6884.0190000000002</v>
      </c>
      <c r="J169" s="65">
        <f>6230.099+1045.845</f>
        <v>7275.9440000000004</v>
      </c>
      <c r="K169" s="65">
        <f>J169*1.2</f>
        <v>8731.1327999999994</v>
      </c>
      <c r="L169" s="65">
        <v>9077</v>
      </c>
      <c r="M169" s="65">
        <v>9248</v>
      </c>
      <c r="N169" s="65">
        <v>9700</v>
      </c>
    </row>
    <row r="170" spans="1:14" ht="12.75">
      <c r="A170" s="61" t="s">
        <v>146</v>
      </c>
      <c r="B170" s="16" t="s">
        <v>76</v>
      </c>
      <c r="C170" s="17">
        <v>1</v>
      </c>
      <c r="D170" s="31"/>
      <c r="E170" s="31"/>
      <c r="F170" s="31"/>
      <c r="G170" s="19"/>
      <c r="H170" s="65">
        <v>5450.5029999999997</v>
      </c>
      <c r="I170" s="65">
        <v>5901.5510000000004</v>
      </c>
      <c r="J170" s="65">
        <v>6230.0990000000002</v>
      </c>
      <c r="K170" s="65">
        <v>6512</v>
      </c>
      <c r="L170" s="107">
        <v>6700</v>
      </c>
      <c r="M170" s="65">
        <v>6815</v>
      </c>
      <c r="N170" s="65">
        <f t="shared" ref="M170:N172" si="18">M170*1.03</f>
        <v>7019.45</v>
      </c>
    </row>
    <row r="171" spans="1:14" ht="12.75">
      <c r="A171" s="36" t="s">
        <v>147</v>
      </c>
      <c r="B171" s="16" t="s">
        <v>76</v>
      </c>
      <c r="C171" s="17">
        <v>1</v>
      </c>
      <c r="D171" s="31"/>
      <c r="E171" s="31"/>
      <c r="F171" s="31"/>
      <c r="G171" s="19">
        <v>64.17</v>
      </c>
      <c r="H171" s="65">
        <v>95.00103</v>
      </c>
      <c r="I171" s="65">
        <v>109.07299999999999</v>
      </c>
      <c r="J171" s="65">
        <v>123.464</v>
      </c>
      <c r="K171" s="65">
        <f>J171/12*9*1.03</f>
        <v>95.37594</v>
      </c>
      <c r="L171" s="107">
        <v>129.19999999999999</v>
      </c>
      <c r="M171" s="65">
        <f t="shared" si="18"/>
        <v>133.07599999999999</v>
      </c>
      <c r="N171" s="65">
        <f t="shared" si="18"/>
        <v>137.06827999999999</v>
      </c>
    </row>
    <row r="172" spans="1:14" ht="12.75">
      <c r="A172" s="36" t="s">
        <v>148</v>
      </c>
      <c r="B172" s="16" t="s">
        <v>76</v>
      </c>
      <c r="C172" s="17">
        <v>1</v>
      </c>
      <c r="D172" s="31"/>
      <c r="E172" s="31"/>
      <c r="F172" s="31"/>
      <c r="G172" s="19">
        <f>65+1.2+117.93+1.5</f>
        <v>185.63</v>
      </c>
      <c r="H172" s="65">
        <v>2325.1489999999999</v>
      </c>
      <c r="I172" s="65">
        <v>2203.2970099999998</v>
      </c>
      <c r="J172" s="65">
        <f>1923.1539+342.8805+257.54</f>
        <v>2523.5744</v>
      </c>
      <c r="K172" s="65">
        <f>J172/12*9*1.03</f>
        <v>1949.4612240000001</v>
      </c>
      <c r="L172" s="107">
        <v>2612</v>
      </c>
      <c r="M172" s="65">
        <f t="shared" si="18"/>
        <v>2690.36</v>
      </c>
      <c r="N172" s="65">
        <f t="shared" si="18"/>
        <v>2771.0708000000004</v>
      </c>
    </row>
    <row r="173" spans="1:14" ht="21">
      <c r="A173" s="36" t="s">
        <v>149</v>
      </c>
      <c r="B173" s="16" t="s">
        <v>76</v>
      </c>
      <c r="C173" s="17">
        <v>1</v>
      </c>
      <c r="D173" s="31"/>
      <c r="E173" s="31"/>
      <c r="F173" s="31"/>
      <c r="G173" s="19">
        <f t="shared" ref="G173:N173" si="19">G156-G167</f>
        <v>317.10999999999876</v>
      </c>
      <c r="H173" s="65">
        <f t="shared" si="19"/>
        <v>27.896369999998569</v>
      </c>
      <c r="I173" s="65">
        <f t="shared" si="19"/>
        <v>723.48668999999973</v>
      </c>
      <c r="J173" s="65">
        <f t="shared" si="19"/>
        <v>392.95309999999881</v>
      </c>
      <c r="K173" s="65">
        <f t="shared" si="19"/>
        <v>616.2100360000004</v>
      </c>
      <c r="L173" s="65">
        <f t="shared" si="19"/>
        <v>355.95989399999962</v>
      </c>
      <c r="M173" s="65">
        <f t="shared" si="19"/>
        <v>428.35597518000031</v>
      </c>
      <c r="N173" s="65">
        <f t="shared" si="19"/>
        <v>238.22729688940308</v>
      </c>
    </row>
    <row r="174" spans="1:14" ht="31.5">
      <c r="A174" s="15" t="s">
        <v>150</v>
      </c>
      <c r="B174" s="16" t="s">
        <v>151</v>
      </c>
      <c r="C174" s="17">
        <v>1</v>
      </c>
      <c r="D174" s="68"/>
      <c r="E174" s="31"/>
      <c r="F174" s="31"/>
      <c r="G174" s="19">
        <v>6374.6</v>
      </c>
      <c r="H174" s="65">
        <v>9860</v>
      </c>
      <c r="I174" s="65">
        <f>H174+350</f>
        <v>10210</v>
      </c>
      <c r="J174" s="65">
        <f>I174+350</f>
        <v>10560</v>
      </c>
      <c r="K174" s="65">
        <v>10712</v>
      </c>
      <c r="L174" s="107">
        <v>10925</v>
      </c>
      <c r="M174" s="65">
        <f>L174+350</f>
        <v>11275</v>
      </c>
      <c r="N174" s="65">
        <f>M174+350</f>
        <v>11625</v>
      </c>
    </row>
    <row r="175" spans="1:14" ht="14.25">
      <c r="A175" s="26" t="s">
        <v>152</v>
      </c>
      <c r="B175" s="34"/>
      <c r="C175" s="17"/>
      <c r="D175" s="31"/>
      <c r="E175" s="31"/>
      <c r="F175" s="31"/>
      <c r="G175" s="19"/>
      <c r="H175" s="65"/>
      <c r="I175" s="65"/>
      <c r="J175" s="65"/>
      <c r="K175" s="65"/>
      <c r="L175" s="107"/>
      <c r="M175" s="65"/>
      <c r="N175" s="109"/>
    </row>
    <row r="176" spans="1:14" ht="12.75">
      <c r="A176" s="15" t="s">
        <v>153</v>
      </c>
      <c r="B176" s="16" t="s">
        <v>11</v>
      </c>
      <c r="C176" s="17">
        <v>1</v>
      </c>
      <c r="D176" s="31"/>
      <c r="E176" s="31"/>
      <c r="F176" s="31"/>
      <c r="G176" s="19">
        <v>37.08</v>
      </c>
      <c r="H176" s="65">
        <v>34.927999999999997</v>
      </c>
      <c r="I176" s="65">
        <v>34.457999999999998</v>
      </c>
      <c r="J176" s="65">
        <v>34.46</v>
      </c>
      <c r="K176" s="65">
        <v>34.46</v>
      </c>
      <c r="L176" s="65">
        <v>34.46</v>
      </c>
      <c r="M176" s="65">
        <v>34.46</v>
      </c>
      <c r="N176" s="65">
        <v>34.46</v>
      </c>
    </row>
    <row r="177" spans="1:14" ht="21">
      <c r="A177" s="48" t="s">
        <v>154</v>
      </c>
      <c r="B177" s="16" t="s">
        <v>11</v>
      </c>
      <c r="C177" s="17">
        <v>1</v>
      </c>
      <c r="D177" s="31"/>
      <c r="E177" s="31"/>
      <c r="F177" s="31"/>
      <c r="G177" s="19">
        <v>32.790999999999997</v>
      </c>
      <c r="H177" s="65">
        <v>31.029</v>
      </c>
      <c r="I177" s="65">
        <v>31.032</v>
      </c>
      <c r="J177" s="65">
        <v>31.041</v>
      </c>
      <c r="K177" s="65">
        <v>31.041</v>
      </c>
      <c r="L177" s="65">
        <v>31.041</v>
      </c>
      <c r="M177" s="65">
        <v>31.041</v>
      </c>
      <c r="N177" s="65">
        <v>31.041</v>
      </c>
    </row>
    <row r="178" spans="1:14" ht="21">
      <c r="A178" s="15" t="s">
        <v>155</v>
      </c>
      <c r="B178" s="16" t="s">
        <v>144</v>
      </c>
      <c r="C178" s="17"/>
      <c r="D178" s="31"/>
      <c r="E178" s="31"/>
      <c r="F178" s="31"/>
      <c r="G178" s="19"/>
      <c r="H178" s="65"/>
      <c r="I178" s="65"/>
      <c r="J178" s="65"/>
      <c r="K178" s="65"/>
      <c r="L178" s="107"/>
      <c r="M178" s="65"/>
      <c r="N178" s="65"/>
    </row>
    <row r="179" spans="1:14" ht="21">
      <c r="A179" s="36" t="s">
        <v>156</v>
      </c>
      <c r="B179" s="16" t="s">
        <v>11</v>
      </c>
      <c r="C179" s="17">
        <v>1</v>
      </c>
      <c r="D179" s="31"/>
      <c r="E179" s="31"/>
      <c r="F179" s="31"/>
      <c r="G179" s="19">
        <v>3.21</v>
      </c>
      <c r="H179" s="65">
        <f>(230+2223+582)/1000</f>
        <v>3.0350000000000001</v>
      </c>
      <c r="I179" s="65">
        <f t="shared" ref="I179:N179" si="20">(230+2223+582)/1000</f>
        <v>3.0350000000000001</v>
      </c>
      <c r="J179" s="65">
        <f t="shared" si="20"/>
        <v>3.0350000000000001</v>
      </c>
      <c r="K179" s="65">
        <f t="shared" si="20"/>
        <v>3.0350000000000001</v>
      </c>
      <c r="L179" s="65">
        <f t="shared" si="20"/>
        <v>3.0350000000000001</v>
      </c>
      <c r="M179" s="65">
        <f t="shared" si="20"/>
        <v>3.0350000000000001</v>
      </c>
      <c r="N179" s="65">
        <f t="shared" si="20"/>
        <v>3.0350000000000001</v>
      </c>
    </row>
    <row r="180" spans="1:14" ht="12.75">
      <c r="A180" s="36" t="s">
        <v>157</v>
      </c>
      <c r="B180" s="16" t="s">
        <v>11</v>
      </c>
      <c r="C180" s="17">
        <v>1</v>
      </c>
      <c r="D180" s="31"/>
      <c r="E180" s="31"/>
      <c r="F180" s="31"/>
      <c r="G180" s="19"/>
      <c r="H180" s="65"/>
      <c r="I180" s="65"/>
      <c r="J180" s="65"/>
      <c r="K180" s="65"/>
      <c r="L180" s="107"/>
      <c r="M180" s="65"/>
      <c r="N180" s="65"/>
    </row>
    <row r="181" spans="1:14" ht="21">
      <c r="A181" s="36" t="s">
        <v>158</v>
      </c>
      <c r="B181" s="16" t="s">
        <v>11</v>
      </c>
      <c r="C181" s="17">
        <v>1</v>
      </c>
      <c r="D181" s="31"/>
      <c r="E181" s="31"/>
      <c r="F181" s="31"/>
      <c r="G181" s="19">
        <f>4029/1000</f>
        <v>4.0289999999999999</v>
      </c>
      <c r="H181" s="65">
        <f t="shared" ref="H181:N181" si="21">(560+672)/1000</f>
        <v>1.232</v>
      </c>
      <c r="I181" s="65">
        <f t="shared" si="21"/>
        <v>1.232</v>
      </c>
      <c r="J181" s="65">
        <f t="shared" si="21"/>
        <v>1.232</v>
      </c>
      <c r="K181" s="65">
        <f t="shared" si="21"/>
        <v>1.232</v>
      </c>
      <c r="L181" s="65">
        <f t="shared" si="21"/>
        <v>1.232</v>
      </c>
      <c r="M181" s="65">
        <f t="shared" si="21"/>
        <v>1.232</v>
      </c>
      <c r="N181" s="65">
        <f t="shared" si="21"/>
        <v>1.232</v>
      </c>
    </row>
    <row r="182" spans="1:14" ht="12.75">
      <c r="A182" s="36" t="s">
        <v>159</v>
      </c>
      <c r="B182" s="16" t="s">
        <v>11</v>
      </c>
      <c r="C182" s="17">
        <v>1</v>
      </c>
      <c r="D182" s="31"/>
      <c r="E182" s="31"/>
      <c r="F182" s="31"/>
      <c r="G182" s="19"/>
      <c r="H182" s="65"/>
      <c r="I182" s="65"/>
      <c r="J182" s="65"/>
      <c r="K182" s="65"/>
      <c r="L182" s="107"/>
      <c r="M182" s="65"/>
      <c r="N182" s="65"/>
    </row>
    <row r="183" spans="1:14" ht="12.75">
      <c r="A183" s="36" t="s">
        <v>160</v>
      </c>
      <c r="B183" s="16" t="s">
        <v>11</v>
      </c>
      <c r="C183" s="17">
        <v>1</v>
      </c>
      <c r="D183" s="31"/>
      <c r="E183" s="31"/>
      <c r="F183" s="31"/>
      <c r="G183" s="19">
        <v>15.8</v>
      </c>
      <c r="H183" s="65">
        <v>15.8</v>
      </c>
      <c r="I183" s="65">
        <v>15.8</v>
      </c>
      <c r="J183" s="65">
        <v>15.8</v>
      </c>
      <c r="K183" s="65">
        <v>15.8</v>
      </c>
      <c r="L183" s="65">
        <v>15.8</v>
      </c>
      <c r="M183" s="65">
        <v>15.8</v>
      </c>
      <c r="N183" s="65">
        <v>15.8</v>
      </c>
    </row>
    <row r="184" spans="1:14" ht="12.75">
      <c r="A184" s="36" t="s">
        <v>161</v>
      </c>
      <c r="B184" s="16" t="s">
        <v>144</v>
      </c>
      <c r="C184" s="17">
        <v>1</v>
      </c>
      <c r="D184" s="31"/>
      <c r="E184" s="31"/>
      <c r="F184" s="31"/>
      <c r="G184" s="19"/>
      <c r="H184" s="65"/>
      <c r="I184" s="65"/>
      <c r="J184" s="65"/>
      <c r="K184" s="65"/>
      <c r="L184" s="107"/>
      <c r="M184" s="65"/>
      <c r="N184" s="65"/>
    </row>
    <row r="185" spans="1:14" ht="21">
      <c r="A185" s="61" t="s">
        <v>162</v>
      </c>
      <c r="B185" s="16" t="s">
        <v>11</v>
      </c>
      <c r="C185" s="17">
        <v>1</v>
      </c>
      <c r="D185" s="31"/>
      <c r="E185" s="31"/>
      <c r="F185" s="31"/>
      <c r="G185" s="19">
        <v>0.16</v>
      </c>
      <c r="H185" s="65">
        <v>0.16</v>
      </c>
      <c r="I185" s="65">
        <v>0.16</v>
      </c>
      <c r="J185" s="65"/>
      <c r="K185" s="65"/>
      <c r="L185" s="107"/>
      <c r="M185" s="65"/>
      <c r="N185" s="65"/>
    </row>
    <row r="186" spans="1:14" ht="12.75">
      <c r="A186" s="61" t="s">
        <v>163</v>
      </c>
      <c r="B186" s="16" t="s">
        <v>11</v>
      </c>
      <c r="C186" s="17">
        <v>1</v>
      </c>
      <c r="D186" s="31"/>
      <c r="E186" s="31"/>
      <c r="F186" s="31"/>
      <c r="G186" s="19"/>
      <c r="H186" s="65"/>
      <c r="I186" s="65"/>
      <c r="J186" s="65"/>
      <c r="K186" s="65"/>
      <c r="L186" s="107"/>
      <c r="M186" s="65"/>
      <c r="N186" s="65"/>
    </row>
    <row r="187" spans="1:14" ht="42">
      <c r="A187" s="61" t="s">
        <v>164</v>
      </c>
      <c r="B187" s="16" t="s">
        <v>11</v>
      </c>
      <c r="C187" s="17">
        <v>1</v>
      </c>
      <c r="D187" s="31"/>
      <c r="E187" s="31"/>
      <c r="F187" s="31"/>
      <c r="G187" s="19">
        <f>G183-G185</f>
        <v>15.64</v>
      </c>
      <c r="H187" s="65">
        <v>15.64</v>
      </c>
      <c r="I187" s="65">
        <v>15.64</v>
      </c>
      <c r="J187" s="65">
        <v>15.64</v>
      </c>
      <c r="K187" s="65">
        <v>15.64</v>
      </c>
      <c r="L187" s="65">
        <v>15.64</v>
      </c>
      <c r="M187" s="65">
        <v>15.64</v>
      </c>
      <c r="N187" s="65">
        <v>15.64</v>
      </c>
    </row>
    <row r="188" spans="1:14" ht="21">
      <c r="A188" s="15" t="s">
        <v>165</v>
      </c>
      <c r="B188" s="16" t="s">
        <v>11</v>
      </c>
      <c r="C188" s="17">
        <v>1</v>
      </c>
      <c r="D188" s="31"/>
      <c r="E188" s="31"/>
      <c r="F188" s="31"/>
      <c r="G188" s="19">
        <v>0.92</v>
      </c>
      <c r="H188" s="65">
        <v>1.722</v>
      </c>
      <c r="I188" s="65">
        <v>1.25</v>
      </c>
      <c r="J188" s="65">
        <v>1.2</v>
      </c>
      <c r="K188" s="65">
        <v>1.3</v>
      </c>
      <c r="L188" s="107">
        <v>1.6</v>
      </c>
      <c r="M188" s="65">
        <v>1.8</v>
      </c>
      <c r="N188" s="65" t="s">
        <v>202</v>
      </c>
    </row>
    <row r="189" spans="1:14" ht="31.5" customHeight="1">
      <c r="A189" s="15" t="s">
        <v>166</v>
      </c>
      <c r="B189" s="16" t="s">
        <v>11</v>
      </c>
      <c r="C189" s="17">
        <v>1</v>
      </c>
      <c r="D189" s="31"/>
      <c r="E189" s="31"/>
      <c r="F189" s="31"/>
      <c r="G189" s="19">
        <v>3.7</v>
      </c>
      <c r="H189" s="65">
        <v>2.177</v>
      </c>
      <c r="I189" s="65">
        <v>2.1760000000000002</v>
      </c>
      <c r="J189" s="65">
        <v>2.1850000000000001</v>
      </c>
      <c r="K189" s="65">
        <v>2.2229999999999999</v>
      </c>
      <c r="L189" s="107">
        <v>2.2280000000000002</v>
      </c>
      <c r="M189" s="65">
        <v>2.23</v>
      </c>
      <c r="N189" s="65">
        <v>2.238</v>
      </c>
    </row>
    <row r="190" spans="1:14" ht="12.75">
      <c r="A190" s="15" t="s">
        <v>167</v>
      </c>
      <c r="B190" s="16" t="s">
        <v>168</v>
      </c>
      <c r="C190" s="17">
        <v>1</v>
      </c>
      <c r="D190" s="31"/>
      <c r="E190" s="31"/>
      <c r="F190" s="31"/>
      <c r="G190" s="19">
        <v>9.02</v>
      </c>
      <c r="H190" s="65">
        <v>9.3960000000000008</v>
      </c>
      <c r="I190" s="65">
        <v>9.3889999999999993</v>
      </c>
      <c r="J190" s="65">
        <v>9.3529999999999998</v>
      </c>
      <c r="K190" s="65">
        <v>9.3529999999999998</v>
      </c>
      <c r="L190" s="65">
        <v>9.34</v>
      </c>
      <c r="M190" s="65">
        <v>9.3379999999999992</v>
      </c>
      <c r="N190" s="65">
        <v>9.3360000000000003</v>
      </c>
    </row>
    <row r="191" spans="1:14" ht="12.75">
      <c r="A191" s="15" t="s">
        <v>169</v>
      </c>
      <c r="B191" s="16" t="s">
        <v>168</v>
      </c>
      <c r="C191" s="17">
        <v>1</v>
      </c>
      <c r="D191" s="31"/>
      <c r="E191" s="31"/>
      <c r="F191" s="31"/>
      <c r="G191" s="19">
        <v>2.75</v>
      </c>
      <c r="H191" s="65">
        <v>3.83</v>
      </c>
      <c r="I191" s="65">
        <v>3.49</v>
      </c>
      <c r="J191" s="65">
        <v>3.62</v>
      </c>
      <c r="K191" s="65">
        <v>3.58</v>
      </c>
      <c r="L191" s="65">
        <v>3.4</v>
      </c>
      <c r="M191" s="65">
        <v>3.3</v>
      </c>
      <c r="N191" s="65">
        <v>3.2</v>
      </c>
    </row>
    <row r="192" spans="1:14" ht="12.75">
      <c r="A192" s="15" t="s">
        <v>170</v>
      </c>
      <c r="B192" s="16" t="s">
        <v>11</v>
      </c>
      <c r="C192" s="17">
        <v>1</v>
      </c>
      <c r="D192" s="31"/>
      <c r="E192" s="31"/>
      <c r="F192" s="31"/>
      <c r="G192" s="19">
        <v>3.2</v>
      </c>
      <c r="H192" s="65">
        <v>3.218</v>
      </c>
      <c r="I192" s="65">
        <v>3.206</v>
      </c>
      <c r="J192" s="65">
        <v>3.2029999999999998</v>
      </c>
      <c r="K192" s="65">
        <v>3.2029999999999998</v>
      </c>
      <c r="L192" s="65">
        <v>3.2</v>
      </c>
      <c r="M192" s="65">
        <v>3.2</v>
      </c>
      <c r="N192" s="65">
        <v>3.2</v>
      </c>
    </row>
    <row r="193" spans="1:14" ht="31.5">
      <c r="A193" s="15" t="s">
        <v>171</v>
      </c>
      <c r="B193" s="16" t="s">
        <v>11</v>
      </c>
      <c r="C193" s="17">
        <v>1</v>
      </c>
      <c r="D193" s="31"/>
      <c r="E193" s="68"/>
      <c r="F193" s="31"/>
      <c r="G193" s="19">
        <v>0.99</v>
      </c>
      <c r="H193" s="65">
        <v>1.3129999999999999</v>
      </c>
      <c r="I193" s="65">
        <v>1.1950000000000001</v>
      </c>
      <c r="J193" s="65">
        <v>1.238</v>
      </c>
      <c r="K193" s="65">
        <v>1.238</v>
      </c>
      <c r="L193" s="65">
        <v>1.119</v>
      </c>
      <c r="M193" s="65">
        <v>1.119</v>
      </c>
      <c r="N193" s="65">
        <v>1.119</v>
      </c>
    </row>
    <row r="194" spans="1:14" ht="21">
      <c r="A194" s="15" t="s">
        <v>172</v>
      </c>
      <c r="B194" s="16" t="s">
        <v>11</v>
      </c>
      <c r="C194" s="17">
        <v>1</v>
      </c>
      <c r="D194" s="31"/>
      <c r="E194" s="31"/>
      <c r="F194" s="31"/>
      <c r="G194" s="19">
        <v>6.569</v>
      </c>
      <c r="H194" s="65">
        <v>4.7050000000000001</v>
      </c>
      <c r="I194" s="65">
        <v>5.7350000000000003</v>
      </c>
      <c r="J194" s="65">
        <v>6.0019999999999998</v>
      </c>
      <c r="K194" s="65"/>
      <c r="L194" s="65"/>
      <c r="M194" s="65"/>
      <c r="N194" s="65"/>
    </row>
    <row r="195" spans="1:14" ht="12.75">
      <c r="A195" s="15" t="s">
        <v>173</v>
      </c>
      <c r="B195" s="16" t="s">
        <v>27</v>
      </c>
      <c r="C195" s="17">
        <v>1</v>
      </c>
      <c r="D195" s="31"/>
      <c r="E195" s="31"/>
      <c r="F195" s="31"/>
      <c r="G195" s="19">
        <v>422.3</v>
      </c>
      <c r="H195" s="65">
        <v>664.88660000000004</v>
      </c>
      <c r="I195" s="65">
        <v>698.13099999999997</v>
      </c>
      <c r="J195" s="65">
        <v>898.65480000000002</v>
      </c>
      <c r="K195" s="65">
        <v>441.3</v>
      </c>
      <c r="L195" s="107">
        <v>899.1</v>
      </c>
      <c r="M195" s="65">
        <f>L195*1.02</f>
        <v>917.08199999999999</v>
      </c>
      <c r="N195" s="65">
        <f>M195*1.02</f>
        <v>935.42363999999998</v>
      </c>
    </row>
    <row r="196" spans="1:14" ht="12.75">
      <c r="A196" s="15" t="s">
        <v>174</v>
      </c>
      <c r="B196" s="16" t="s">
        <v>27</v>
      </c>
      <c r="C196" s="17">
        <v>1</v>
      </c>
      <c r="D196" s="31"/>
      <c r="E196" s="31"/>
      <c r="F196" s="31"/>
      <c r="G196" s="19">
        <v>1529.4</v>
      </c>
      <c r="H196" s="65">
        <v>2549.8578000000002</v>
      </c>
      <c r="I196" s="65">
        <v>3218.5659999999998</v>
      </c>
      <c r="J196" s="65">
        <v>3000.0682000000002</v>
      </c>
      <c r="K196" s="65">
        <v>2250</v>
      </c>
      <c r="L196" s="107">
        <f>J196*1.11</f>
        <v>3330.0757020000005</v>
      </c>
      <c r="M196" s="65">
        <f>L196*1.09</f>
        <v>3629.7825151800007</v>
      </c>
      <c r="N196" s="65">
        <f>M196*1.08</f>
        <v>3920.1651163944011</v>
      </c>
    </row>
    <row r="197" spans="1:14" ht="14.25">
      <c r="A197" s="26" t="s">
        <v>175</v>
      </c>
      <c r="B197" s="16"/>
      <c r="C197" s="17"/>
      <c r="D197" s="31"/>
      <c r="E197" s="31"/>
      <c r="F197" s="31"/>
      <c r="G197" s="19"/>
      <c r="H197" s="65"/>
      <c r="I197" s="65"/>
      <c r="J197" s="65"/>
      <c r="K197" s="65"/>
      <c r="L197" s="107"/>
      <c r="M197" s="65"/>
      <c r="N197" s="14"/>
    </row>
    <row r="198" spans="1:14" ht="21">
      <c r="A198" s="15" t="s">
        <v>176</v>
      </c>
      <c r="B198" s="16" t="s">
        <v>177</v>
      </c>
      <c r="C198" s="17">
        <v>1</v>
      </c>
      <c r="D198" s="18"/>
      <c r="E198" s="18"/>
      <c r="F198" s="18"/>
      <c r="G198" s="19">
        <v>670</v>
      </c>
      <c r="H198" s="65">
        <v>1079</v>
      </c>
      <c r="I198" s="65">
        <v>1360</v>
      </c>
      <c r="J198" s="65">
        <v>1260</v>
      </c>
      <c r="K198" s="65">
        <v>1320</v>
      </c>
      <c r="L198" s="65">
        <v>1370</v>
      </c>
      <c r="M198" s="65">
        <v>1570</v>
      </c>
      <c r="N198" s="65">
        <v>1790</v>
      </c>
    </row>
    <row r="199" spans="1:14" ht="21">
      <c r="A199" s="69" t="s">
        <v>178</v>
      </c>
      <c r="B199" s="16"/>
      <c r="C199" s="17"/>
      <c r="D199" s="31"/>
      <c r="E199" s="31"/>
      <c r="F199" s="31"/>
      <c r="G199" s="44"/>
      <c r="H199" s="65">
        <f>10055+112</f>
        <v>10167</v>
      </c>
      <c r="I199" s="65">
        <f>10212+95</f>
        <v>10307</v>
      </c>
      <c r="J199" s="65">
        <f>J200+J201</f>
        <v>10468</v>
      </c>
      <c r="K199" s="65">
        <f>K200+K201</f>
        <v>10749</v>
      </c>
      <c r="L199" s="65">
        <f>L200+L201</f>
        <v>11041</v>
      </c>
      <c r="M199" s="65">
        <f>M200+M201</f>
        <v>11278</v>
      </c>
      <c r="N199" s="65">
        <f>N200+N201</f>
        <v>11500</v>
      </c>
    </row>
    <row r="200" spans="1:14" ht="24.75" customHeight="1">
      <c r="A200" s="36" t="s">
        <v>179</v>
      </c>
      <c r="B200" s="16" t="s">
        <v>177</v>
      </c>
      <c r="C200" s="17">
        <v>1</v>
      </c>
      <c r="D200" s="31"/>
      <c r="E200" s="31"/>
      <c r="F200" s="31"/>
      <c r="G200" s="19">
        <v>9622</v>
      </c>
      <c r="H200" s="65">
        <v>10055</v>
      </c>
      <c r="I200" s="65">
        <v>10212</v>
      </c>
      <c r="J200" s="65">
        <v>10384</v>
      </c>
      <c r="K200" s="65">
        <v>10683</v>
      </c>
      <c r="L200" s="65">
        <v>10981</v>
      </c>
      <c r="M200" s="65">
        <v>11228</v>
      </c>
      <c r="N200" s="65">
        <v>11455</v>
      </c>
    </row>
    <row r="201" spans="1:14" ht="12.75">
      <c r="A201" s="36" t="s">
        <v>180</v>
      </c>
      <c r="B201" s="16" t="s">
        <v>177</v>
      </c>
      <c r="C201" s="17">
        <v>1</v>
      </c>
      <c r="D201" s="31"/>
      <c r="E201" s="68"/>
      <c r="F201" s="31"/>
      <c r="G201" s="19">
        <f>704+9</f>
        <v>713</v>
      </c>
      <c r="H201" s="65">
        <v>95</v>
      </c>
      <c r="I201" s="65">
        <v>105</v>
      </c>
      <c r="J201" s="65">
        <v>84</v>
      </c>
      <c r="K201" s="65">
        <v>66</v>
      </c>
      <c r="L201" s="107">
        <v>60</v>
      </c>
      <c r="M201" s="65">
        <v>50</v>
      </c>
      <c r="N201" s="65">
        <v>45</v>
      </c>
    </row>
    <row r="202" spans="1:14" ht="12.75">
      <c r="A202" s="36" t="s">
        <v>181</v>
      </c>
      <c r="B202" s="16" t="s">
        <v>177</v>
      </c>
      <c r="C202" s="17">
        <v>1</v>
      </c>
      <c r="D202" s="31"/>
      <c r="E202" s="31"/>
      <c r="F202" s="31"/>
      <c r="G202" s="19"/>
      <c r="H202" s="65">
        <v>0</v>
      </c>
      <c r="I202" s="65">
        <v>0</v>
      </c>
      <c r="J202" s="65">
        <v>0</v>
      </c>
      <c r="K202" s="65">
        <v>0</v>
      </c>
      <c r="L202" s="65">
        <v>0</v>
      </c>
      <c r="M202" s="65">
        <v>0</v>
      </c>
      <c r="N202" s="65">
        <v>0</v>
      </c>
    </row>
    <row r="203" spans="1:14" ht="42">
      <c r="A203" s="15" t="s">
        <v>182</v>
      </c>
      <c r="B203" s="16" t="s">
        <v>183</v>
      </c>
      <c r="C203" s="17">
        <v>1</v>
      </c>
      <c r="D203" s="31"/>
      <c r="E203" s="31"/>
      <c r="F203" s="31"/>
      <c r="G203" s="19">
        <f>7255/9622*100</f>
        <v>75.400124714196636</v>
      </c>
      <c r="H203" s="99">
        <f>8221/10055*100</f>
        <v>81.760318249627048</v>
      </c>
      <c r="I203" s="99">
        <f>8005/10212*100</f>
        <v>78.388170779475132</v>
      </c>
      <c r="J203" s="99">
        <v>75.400000000000006</v>
      </c>
      <c r="K203" s="65">
        <v>74.5</v>
      </c>
      <c r="L203" s="65">
        <v>73.2</v>
      </c>
      <c r="M203" s="99">
        <v>68.099999999999994</v>
      </c>
      <c r="N203" s="99">
        <v>62.4</v>
      </c>
    </row>
    <row r="204" spans="1:14" ht="29.25">
      <c r="A204" s="48" t="s">
        <v>184</v>
      </c>
      <c r="B204" s="70" t="s">
        <v>185</v>
      </c>
      <c r="C204" s="17">
        <v>1</v>
      </c>
      <c r="D204" s="31"/>
      <c r="E204" s="31"/>
      <c r="F204" s="31"/>
      <c r="G204" s="19">
        <v>18.04</v>
      </c>
      <c r="H204" s="65">
        <v>22.4</v>
      </c>
      <c r="I204" s="65">
        <v>15.08</v>
      </c>
      <c r="J204" s="65">
        <v>15.25</v>
      </c>
      <c r="K204" s="65">
        <v>15.656000000000001</v>
      </c>
      <c r="L204" s="107">
        <f>K204*1.02</f>
        <v>15.96912</v>
      </c>
      <c r="M204" s="107">
        <f>L204*1.02</f>
        <v>16.288502399999999</v>
      </c>
      <c r="N204" s="107">
        <f>M204*1.02</f>
        <v>16.614272447999998</v>
      </c>
    </row>
    <row r="205" spans="1:14" ht="13.5" customHeight="1">
      <c r="A205" s="15" t="s">
        <v>186</v>
      </c>
      <c r="B205" s="70"/>
      <c r="C205" s="17"/>
      <c r="D205" s="31"/>
      <c r="E205" s="31"/>
      <c r="F205" s="31"/>
      <c r="G205" s="19"/>
      <c r="H205" s="65"/>
      <c r="I205" s="65"/>
      <c r="J205" s="65"/>
      <c r="K205" s="65"/>
      <c r="L205" s="104"/>
      <c r="M205" s="99"/>
      <c r="N205" s="14"/>
    </row>
    <row r="206" spans="1:14" ht="29.25">
      <c r="A206" s="36" t="s">
        <v>187</v>
      </c>
      <c r="B206" s="70" t="s">
        <v>185</v>
      </c>
      <c r="C206" s="17">
        <v>1</v>
      </c>
      <c r="D206" s="31"/>
      <c r="E206" s="31"/>
      <c r="F206" s="31"/>
      <c r="G206" s="71" t="s">
        <v>37</v>
      </c>
      <c r="H206" s="65">
        <v>0.54</v>
      </c>
      <c r="I206" s="65">
        <v>0.54</v>
      </c>
      <c r="J206" s="65">
        <v>1.4139999999999999</v>
      </c>
      <c r="K206" s="65">
        <v>1.4139999999999999</v>
      </c>
      <c r="L206" s="65">
        <v>1.4139999999999999</v>
      </c>
      <c r="M206" s="65">
        <v>1.4139999999999999</v>
      </c>
      <c r="N206" s="65">
        <v>1.4139999999999999</v>
      </c>
    </row>
    <row r="207" spans="1:14" ht="27" customHeight="1">
      <c r="A207" s="36" t="s">
        <v>188</v>
      </c>
      <c r="B207" s="70" t="s">
        <v>185</v>
      </c>
      <c r="C207" s="17">
        <v>1</v>
      </c>
      <c r="D207" s="31"/>
      <c r="E207" s="31"/>
      <c r="F207" s="31"/>
      <c r="G207" s="71" t="s">
        <v>37</v>
      </c>
      <c r="H207" s="65">
        <v>1.5</v>
      </c>
      <c r="I207" s="65">
        <v>1.5</v>
      </c>
      <c r="J207" s="65"/>
      <c r="K207" s="65"/>
      <c r="L207" s="107"/>
      <c r="M207" s="65"/>
      <c r="N207" s="65"/>
    </row>
    <row r="208" spans="1:14" ht="39" customHeight="1">
      <c r="A208" s="36" t="s">
        <v>189</v>
      </c>
      <c r="B208" s="70" t="s">
        <v>185</v>
      </c>
      <c r="C208" s="17">
        <v>1</v>
      </c>
      <c r="D208" s="31"/>
      <c r="E208" s="31"/>
      <c r="F208" s="31"/>
      <c r="G208" s="19">
        <v>18.04</v>
      </c>
      <c r="H208" s="65">
        <f t="shared" ref="H208:N208" si="22">H204-H206-H207</f>
        <v>20.36</v>
      </c>
      <c r="I208" s="65">
        <f t="shared" si="22"/>
        <v>13.04</v>
      </c>
      <c r="J208" s="65">
        <f t="shared" si="22"/>
        <v>13.836</v>
      </c>
      <c r="K208" s="65">
        <f t="shared" si="22"/>
        <v>14.242000000000001</v>
      </c>
      <c r="L208" s="65">
        <f t="shared" si="22"/>
        <v>14.555120000000001</v>
      </c>
      <c r="M208" s="65">
        <f t="shared" si="22"/>
        <v>14.874502399999999</v>
      </c>
      <c r="N208" s="65">
        <f t="shared" si="22"/>
        <v>15.200272447999998</v>
      </c>
    </row>
    <row r="209" spans="1:16" ht="12.75">
      <c r="A209" s="72" t="s">
        <v>117</v>
      </c>
      <c r="B209" s="22"/>
      <c r="C209" s="17"/>
      <c r="D209" s="31"/>
      <c r="E209" s="31"/>
      <c r="F209" s="31"/>
      <c r="G209" s="19"/>
      <c r="H209" s="65"/>
      <c r="I209" s="65"/>
      <c r="J209" s="65"/>
      <c r="K209" s="65"/>
      <c r="L209" s="107"/>
      <c r="M209" s="65"/>
      <c r="N209" s="14"/>
    </row>
    <row r="210" spans="1:16" ht="35.25" customHeight="1">
      <c r="A210" s="36" t="s">
        <v>190</v>
      </c>
      <c r="B210" s="16" t="s">
        <v>191</v>
      </c>
      <c r="C210" s="17">
        <v>1</v>
      </c>
      <c r="D210" s="31"/>
      <c r="E210" s="31"/>
      <c r="F210" s="31"/>
      <c r="G210" s="19">
        <f>1154.44/G7</f>
        <v>18.30120481927711</v>
      </c>
      <c r="H210" s="65">
        <v>19.2</v>
      </c>
      <c r="I210" s="65">
        <v>19.100000000000001</v>
      </c>
      <c r="J210" s="65">
        <v>19.100000000000001</v>
      </c>
      <c r="K210" s="65">
        <v>19.100000000000001</v>
      </c>
      <c r="L210" s="65">
        <v>19.100000000000001</v>
      </c>
      <c r="M210" s="65">
        <v>19.100000000000001</v>
      </c>
      <c r="N210" s="65">
        <v>19.100000000000001</v>
      </c>
    </row>
    <row r="211" spans="1:16" ht="35.25" customHeight="1">
      <c r="A211" s="36" t="s">
        <v>192</v>
      </c>
      <c r="B211" s="16" t="s">
        <v>193</v>
      </c>
      <c r="C211" s="17">
        <v>1</v>
      </c>
      <c r="D211" s="31"/>
      <c r="E211" s="31"/>
      <c r="F211" s="31"/>
      <c r="G211" s="57">
        <v>338642.9</v>
      </c>
      <c r="H211" s="65">
        <v>457498.2</v>
      </c>
      <c r="I211" s="65">
        <f>H211*1.03</f>
        <v>471223.14600000001</v>
      </c>
      <c r="J211" s="65">
        <f>I211*1.03</f>
        <v>485359.84038000001</v>
      </c>
      <c r="K211" s="65">
        <v>498672</v>
      </c>
      <c r="L211" s="107">
        <f>K211*1.02</f>
        <v>508645.44</v>
      </c>
      <c r="M211" s="65">
        <f>L211*1.03</f>
        <v>523904.80320000002</v>
      </c>
      <c r="N211" s="65">
        <f>M211*1.03</f>
        <v>539621.94729600009</v>
      </c>
    </row>
    <row r="212" spans="1:16" ht="35.25" customHeight="1">
      <c r="A212" s="36" t="s">
        <v>194</v>
      </c>
      <c r="B212" s="16" t="s">
        <v>168</v>
      </c>
      <c r="C212" s="17">
        <v>1</v>
      </c>
      <c r="D212" s="31"/>
      <c r="E212" s="31"/>
      <c r="F212" s="31"/>
      <c r="G212" s="73">
        <v>76.3</v>
      </c>
      <c r="H212" s="65">
        <f>191997/462822*100</f>
        <v>41.483983043156982</v>
      </c>
      <c r="I212" s="65">
        <f>209069/546007.7*100</f>
        <v>38.29048564699729</v>
      </c>
      <c r="J212" s="65">
        <f>209455.5/533598.3*100</f>
        <v>39.253404667893427</v>
      </c>
      <c r="K212" s="65">
        <f>144122.4/288924.9*100</f>
        <v>49.882305055742854</v>
      </c>
      <c r="L212" s="65">
        <v>39.799999999999997</v>
      </c>
      <c r="M212" s="107">
        <v>40.1</v>
      </c>
      <c r="N212" s="107">
        <v>40.5</v>
      </c>
    </row>
    <row r="213" spans="1:16" ht="35.25" customHeight="1">
      <c r="A213" s="15" t="s">
        <v>195</v>
      </c>
      <c r="B213" s="16" t="s">
        <v>196</v>
      </c>
      <c r="C213" s="17">
        <v>1</v>
      </c>
      <c r="D213" s="31"/>
      <c r="E213" s="31"/>
      <c r="F213" s="31"/>
      <c r="G213" s="19">
        <v>7.78</v>
      </c>
      <c r="H213" s="65">
        <v>9.5</v>
      </c>
      <c r="I213" s="65">
        <v>10.013</v>
      </c>
      <c r="J213" s="65">
        <v>10.532</v>
      </c>
      <c r="K213" s="65">
        <v>10.532</v>
      </c>
      <c r="L213" s="65">
        <v>10.6</v>
      </c>
      <c r="M213" s="65">
        <v>10.7</v>
      </c>
      <c r="N213" s="65">
        <v>10.8</v>
      </c>
    </row>
    <row r="214" spans="1:16" ht="35.25" customHeight="1">
      <c r="A214" s="15" t="s">
        <v>195</v>
      </c>
      <c r="B214" s="16" t="s">
        <v>197</v>
      </c>
      <c r="C214" s="17">
        <v>1</v>
      </c>
      <c r="D214" s="31"/>
      <c r="E214" s="31"/>
      <c r="F214" s="31"/>
      <c r="G214" s="74">
        <f>G213/G7*1000</f>
        <v>123.33544705136336</v>
      </c>
      <c r="H214" s="67">
        <f>9599/69502*1000</f>
        <v>138.11113349256138</v>
      </c>
      <c r="I214" s="67">
        <f>10013/70484*1000</f>
        <v>142.06060950002839</v>
      </c>
      <c r="J214" s="67">
        <f>10532/71312*1000</f>
        <v>147.68902849450302</v>
      </c>
      <c r="K214" s="67">
        <f>K213/K7*1000</f>
        <v>145.85237501731061</v>
      </c>
      <c r="L214" s="67">
        <f>L213/L7*1000</f>
        <v>144.9870058815483</v>
      </c>
      <c r="M214" s="67">
        <f>M213/M7*1000</f>
        <v>144.51647757968661</v>
      </c>
      <c r="N214" s="67">
        <f>N213/N7*1000</f>
        <v>143.96161023727004</v>
      </c>
    </row>
    <row r="215" spans="1:16" ht="12.75">
      <c r="A215" s="75" t="s">
        <v>198</v>
      </c>
      <c r="B215" s="76" t="s">
        <v>193</v>
      </c>
      <c r="C215" s="77"/>
      <c r="D215" s="78"/>
      <c r="E215" s="79"/>
      <c r="F215" s="77"/>
      <c r="G215" s="80"/>
      <c r="H215" s="65">
        <v>888988</v>
      </c>
      <c r="I215" s="65">
        <v>982468</v>
      </c>
      <c r="J215" s="81">
        <v>1045845</v>
      </c>
      <c r="K215" s="81">
        <v>1104413</v>
      </c>
      <c r="L215" s="81">
        <f>K215*1.03</f>
        <v>1137545.3900000001</v>
      </c>
      <c r="M215" s="65">
        <f>L215*1.03</f>
        <v>1171671.7517000001</v>
      </c>
      <c r="N215" s="65">
        <f>M215*1.03</f>
        <v>1206821.9042510001</v>
      </c>
      <c r="O215" s="37"/>
      <c r="P215" s="37"/>
    </row>
    <row r="216" spans="1:16" ht="12.75">
      <c r="A216" s="15" t="s">
        <v>12</v>
      </c>
      <c r="B216" s="22" t="s">
        <v>13</v>
      </c>
      <c r="C216" s="77"/>
      <c r="D216" s="78"/>
      <c r="E216" s="79"/>
      <c r="F216" s="77"/>
      <c r="G216" s="80"/>
      <c r="H216" s="82">
        <v>110.29</v>
      </c>
      <c r="I216" s="82">
        <f t="shared" ref="I216:N216" si="23">I215/H215*100</f>
        <v>110.51532754097919</v>
      </c>
      <c r="J216" s="82">
        <f t="shared" si="23"/>
        <v>106.45079534397048</v>
      </c>
      <c r="K216" s="82">
        <f t="shared" si="23"/>
        <v>105.60006501919501</v>
      </c>
      <c r="L216" s="82">
        <f t="shared" si="23"/>
        <v>103</v>
      </c>
      <c r="M216" s="82">
        <f t="shared" si="23"/>
        <v>103</v>
      </c>
      <c r="N216" s="82">
        <f t="shared" si="23"/>
        <v>103</v>
      </c>
    </row>
    <row r="217" spans="1:16" ht="12.75">
      <c r="A217" s="15" t="s">
        <v>14</v>
      </c>
      <c r="B217" s="22" t="s">
        <v>13</v>
      </c>
      <c r="C217" s="77"/>
      <c r="D217" s="78"/>
      <c r="E217" s="79"/>
      <c r="F217" s="77"/>
      <c r="G217" s="80"/>
      <c r="H217" s="82"/>
      <c r="I217" s="82"/>
      <c r="J217" s="82"/>
      <c r="K217" s="82"/>
      <c r="L217" s="82"/>
      <c r="M217" s="82"/>
      <c r="N217" s="82"/>
    </row>
    <row r="218" spans="1:16" ht="18.75">
      <c r="A218" s="83"/>
      <c r="B218" s="84"/>
      <c r="C218" s="85"/>
      <c r="D218" s="86"/>
      <c r="E218" s="87"/>
      <c r="F218" s="85"/>
      <c r="J218" s="98"/>
      <c r="L218" s="80"/>
      <c r="M218" s="80"/>
    </row>
    <row r="219" spans="1:16" ht="28.5" customHeight="1">
      <c r="A219" s="137" t="s">
        <v>212</v>
      </c>
      <c r="B219" s="137"/>
      <c r="C219" s="137"/>
      <c r="D219" s="137"/>
      <c r="E219" s="137"/>
      <c r="F219" s="137"/>
      <c r="G219" s="137"/>
      <c r="H219" s="137"/>
      <c r="I219" s="137"/>
      <c r="J219" s="137"/>
      <c r="K219" s="137"/>
      <c r="L219" s="137"/>
      <c r="M219" s="137"/>
      <c r="N219" s="137"/>
    </row>
    <row r="220" spans="1:16" ht="16.5" customHeight="1">
      <c r="A220" s="89"/>
      <c r="B220" s="89"/>
      <c r="C220" s="89"/>
      <c r="D220" s="89"/>
      <c r="E220" s="89"/>
      <c r="F220" s="89"/>
      <c r="G220" s="89"/>
      <c r="H220" s="97"/>
      <c r="I220" s="97"/>
      <c r="J220" s="97"/>
      <c r="K220" s="97"/>
      <c r="L220" s="97"/>
      <c r="M220" s="97"/>
    </row>
    <row r="221" spans="1:16" ht="16.5" customHeight="1">
      <c r="A221" s="89"/>
      <c r="B221" s="89"/>
      <c r="C221" s="89"/>
      <c r="D221" s="89"/>
      <c r="E221" s="89"/>
      <c r="F221" s="89"/>
      <c r="G221" s="89"/>
      <c r="H221" s="97"/>
      <c r="I221" s="97"/>
      <c r="J221" s="97"/>
      <c r="K221" s="97"/>
      <c r="L221" s="97"/>
      <c r="M221" s="97"/>
    </row>
    <row r="222" spans="1:16" ht="16.5" customHeight="1">
      <c r="A222" s="89"/>
      <c r="B222" s="89"/>
      <c r="C222" s="89"/>
      <c r="D222" s="89"/>
      <c r="E222" s="89"/>
      <c r="F222" s="89"/>
      <c r="G222" s="89"/>
      <c r="H222" s="97"/>
      <c r="I222" s="97"/>
      <c r="J222" s="97"/>
      <c r="K222" s="97"/>
      <c r="L222" s="97"/>
      <c r="M222" s="97"/>
    </row>
    <row r="223" spans="1:16" ht="56.25" customHeight="1">
      <c r="A223" s="89"/>
      <c r="B223" s="89"/>
      <c r="C223" s="89"/>
      <c r="D223" s="89"/>
      <c r="E223" s="89"/>
      <c r="F223" s="89"/>
      <c r="G223" s="89"/>
      <c r="H223" s="97"/>
      <c r="I223" s="97"/>
      <c r="J223" s="97"/>
      <c r="K223" s="97"/>
      <c r="L223" s="97"/>
      <c r="M223" s="97"/>
    </row>
    <row r="224" spans="1:16" ht="56.25" customHeight="1">
      <c r="A224" s="89"/>
      <c r="B224" s="89"/>
      <c r="C224" s="89"/>
      <c r="D224" s="89"/>
      <c r="E224" s="89"/>
      <c r="F224" s="89"/>
      <c r="G224" s="89"/>
      <c r="H224" s="97"/>
      <c r="I224" s="97"/>
      <c r="J224" s="97"/>
      <c r="K224" s="97"/>
      <c r="L224" s="97"/>
      <c r="M224" s="97"/>
    </row>
    <row r="225" spans="1:13" ht="56.25" customHeight="1">
      <c r="A225" s="89"/>
      <c r="B225" s="89"/>
      <c r="C225" s="89"/>
      <c r="D225" s="89"/>
      <c r="E225" s="89"/>
      <c r="F225" s="89"/>
      <c r="G225" s="89"/>
      <c r="H225" s="97"/>
      <c r="I225" s="97"/>
      <c r="J225" s="97"/>
      <c r="K225" s="97"/>
      <c r="L225" s="97"/>
      <c r="M225" s="97"/>
    </row>
    <row r="226" spans="1:13" ht="56.25" customHeight="1">
      <c r="A226" s="89"/>
      <c r="B226" s="89"/>
      <c r="C226" s="89"/>
      <c r="D226" s="89"/>
      <c r="E226" s="89"/>
      <c r="F226" s="89"/>
      <c r="G226" s="89"/>
      <c r="H226" s="97"/>
      <c r="I226" s="97"/>
      <c r="J226" s="97"/>
      <c r="K226" s="97"/>
      <c r="L226" s="97"/>
      <c r="M226" s="97"/>
    </row>
    <row r="227" spans="1:13" ht="56.25" customHeight="1">
      <c r="A227" s="89"/>
      <c r="B227" s="89"/>
      <c r="C227" s="89"/>
      <c r="D227" s="89"/>
      <c r="E227" s="89"/>
      <c r="F227" s="89"/>
      <c r="G227" s="89"/>
      <c r="H227" s="97"/>
      <c r="I227" s="97"/>
      <c r="J227" s="97"/>
      <c r="K227" s="97"/>
      <c r="L227" s="97"/>
      <c r="M227" s="97"/>
    </row>
    <row r="228" spans="1:13" ht="18.75">
      <c r="A228" s="90"/>
      <c r="B228" s="84"/>
      <c r="C228" s="85"/>
      <c r="D228" s="86"/>
      <c r="E228" s="87"/>
      <c r="F228" s="85"/>
      <c r="G228" s="88"/>
      <c r="H228" s="80"/>
      <c r="I228" s="80"/>
      <c r="J228" s="80"/>
      <c r="K228" s="80"/>
      <c r="L228" s="80"/>
      <c r="M228" s="80"/>
    </row>
    <row r="229" spans="1:13" ht="18.75">
      <c r="A229" s="90"/>
      <c r="B229" s="84"/>
      <c r="C229" s="85"/>
      <c r="D229" s="86"/>
      <c r="E229" s="87"/>
      <c r="F229" s="85"/>
      <c r="G229" s="88"/>
      <c r="H229" s="80"/>
      <c r="I229" s="80"/>
      <c r="J229" s="80"/>
      <c r="K229" s="80"/>
      <c r="L229" s="80"/>
      <c r="M229" s="80"/>
    </row>
    <row r="230" spans="1:13" ht="18.75">
      <c r="A230" s="90"/>
      <c r="B230" s="84"/>
      <c r="C230" s="85"/>
      <c r="D230" s="86"/>
      <c r="E230" s="87"/>
      <c r="F230" s="85"/>
      <c r="G230" s="88"/>
      <c r="H230" s="80"/>
      <c r="I230" s="80"/>
      <c r="J230" s="80"/>
      <c r="K230" s="80"/>
      <c r="L230" s="80"/>
      <c r="M230" s="80"/>
    </row>
    <row r="231" spans="1:13" ht="18.75">
      <c r="A231" s="90"/>
      <c r="B231" s="84"/>
      <c r="C231" s="85"/>
      <c r="D231" s="86"/>
      <c r="E231" s="87"/>
      <c r="F231" s="85"/>
      <c r="G231" s="88"/>
      <c r="H231" s="80"/>
      <c r="I231" s="80"/>
      <c r="J231" s="80"/>
      <c r="K231" s="80"/>
      <c r="L231" s="80"/>
      <c r="M231" s="80"/>
    </row>
    <row r="232" spans="1:13" ht="18.75">
      <c r="A232" s="90"/>
      <c r="B232" s="84"/>
      <c r="C232" s="85"/>
      <c r="D232" s="86"/>
      <c r="E232" s="87"/>
      <c r="F232" s="85"/>
      <c r="G232" s="88"/>
      <c r="H232" s="80"/>
      <c r="I232" s="80"/>
      <c r="J232" s="80"/>
      <c r="K232" s="80"/>
      <c r="L232" s="80"/>
      <c r="M232" s="80"/>
    </row>
    <row r="233" spans="1:13">
      <c r="A233" s="84"/>
      <c r="B233" s="84"/>
      <c r="C233" s="85"/>
      <c r="D233" s="86"/>
      <c r="E233" s="87"/>
      <c r="F233" s="85"/>
      <c r="G233" s="88"/>
      <c r="H233" s="80"/>
      <c r="I233" s="80"/>
      <c r="J233" s="80"/>
      <c r="K233" s="80"/>
      <c r="L233" s="80"/>
      <c r="M233" s="80"/>
    </row>
    <row r="234" spans="1:13">
      <c r="A234" s="84"/>
      <c r="B234" s="84"/>
      <c r="C234" s="85"/>
      <c r="D234" s="86"/>
      <c r="E234" s="87"/>
      <c r="F234" s="85"/>
      <c r="G234" s="88"/>
      <c r="H234" s="80"/>
      <c r="I234" s="80"/>
      <c r="J234" s="80"/>
      <c r="K234" s="80"/>
      <c r="L234" s="80"/>
      <c r="M234" s="80"/>
    </row>
    <row r="235" spans="1:13">
      <c r="A235" s="84"/>
      <c r="B235" s="84"/>
      <c r="C235" s="85"/>
      <c r="D235" s="86"/>
      <c r="E235" s="87"/>
      <c r="F235" s="85"/>
      <c r="G235" s="88"/>
      <c r="H235" s="80"/>
      <c r="I235" s="80"/>
      <c r="J235" s="80"/>
      <c r="K235" s="80"/>
      <c r="L235" s="80"/>
      <c r="M235" s="80"/>
    </row>
    <row r="236" spans="1:13" ht="12.75">
      <c r="A236" s="84"/>
      <c r="B236" s="84"/>
      <c r="C236" s="85"/>
      <c r="D236" s="86"/>
      <c r="E236" s="87"/>
      <c r="F236" s="85"/>
      <c r="G236" s="91">
        <v>77.86</v>
      </c>
      <c r="H236" s="96"/>
      <c r="I236" s="96">
        <f>80.4+1.35</f>
        <v>81.75</v>
      </c>
      <c r="J236" s="96"/>
      <c r="K236" s="96"/>
      <c r="L236" s="95">
        <f>I236+1.45</f>
        <v>83.2</v>
      </c>
      <c r="M236" s="95"/>
    </row>
    <row r="237" spans="1:13">
      <c r="A237" s="84"/>
      <c r="B237" s="84"/>
      <c r="C237" s="85"/>
      <c r="D237" s="86"/>
      <c r="E237" s="87"/>
      <c r="F237" s="85"/>
      <c r="G237" s="88"/>
      <c r="H237" s="80"/>
      <c r="I237" s="80"/>
      <c r="J237" s="80"/>
      <c r="K237" s="80"/>
      <c r="L237" s="80"/>
      <c r="M237" s="80"/>
    </row>
    <row r="238" spans="1:13">
      <c r="A238" s="84"/>
      <c r="B238" s="84"/>
      <c r="C238" s="85"/>
      <c r="D238" s="86"/>
      <c r="E238" s="87"/>
      <c r="F238" s="85"/>
      <c r="G238" s="88"/>
      <c r="H238" s="80"/>
      <c r="I238" s="80"/>
      <c r="J238" s="80"/>
      <c r="K238" s="80"/>
      <c r="L238" s="80"/>
      <c r="M238" s="80"/>
    </row>
    <row r="239" spans="1:13">
      <c r="A239" s="84"/>
      <c r="B239" s="84"/>
      <c r="C239" s="85"/>
      <c r="D239" s="86"/>
      <c r="E239" s="87"/>
      <c r="F239" s="85"/>
      <c r="G239" s="88"/>
      <c r="H239" s="80"/>
      <c r="I239" s="80"/>
      <c r="J239" s="80"/>
      <c r="K239" s="80"/>
      <c r="L239" s="80"/>
      <c r="M239" s="80"/>
    </row>
    <row r="240" spans="1:13">
      <c r="A240" s="84"/>
      <c r="B240" s="84"/>
      <c r="C240" s="85"/>
      <c r="D240" s="86"/>
      <c r="E240" s="87"/>
      <c r="F240" s="85"/>
      <c r="G240" s="88"/>
      <c r="H240" s="80"/>
      <c r="I240" s="80"/>
      <c r="J240" s="80"/>
      <c r="K240" s="80"/>
      <c r="L240" s="80"/>
      <c r="M240" s="80"/>
    </row>
    <row r="241" spans="1:13">
      <c r="A241" s="84"/>
      <c r="B241" s="84"/>
      <c r="C241" s="85"/>
      <c r="D241" s="86"/>
      <c r="E241" s="87"/>
      <c r="F241" s="85"/>
      <c r="G241" s="88"/>
      <c r="H241" s="80"/>
      <c r="I241" s="80"/>
      <c r="J241" s="80"/>
      <c r="K241" s="80"/>
      <c r="L241" s="80"/>
      <c r="M241" s="80"/>
    </row>
    <row r="242" spans="1:13">
      <c r="A242" s="84"/>
      <c r="B242" s="84"/>
      <c r="C242" s="85"/>
      <c r="D242" s="86"/>
      <c r="E242" s="87"/>
      <c r="F242" s="85"/>
      <c r="G242" s="88"/>
      <c r="H242" s="80"/>
      <c r="I242" s="80"/>
      <c r="J242" s="80"/>
      <c r="K242" s="80"/>
      <c r="L242" s="80"/>
      <c r="M242" s="80"/>
    </row>
    <row r="243" spans="1:13">
      <c r="A243" s="84"/>
      <c r="B243" s="84"/>
      <c r="C243" s="85"/>
      <c r="D243" s="86"/>
      <c r="E243" s="87"/>
      <c r="F243" s="85"/>
      <c r="G243" s="88"/>
      <c r="H243" s="80"/>
      <c r="I243" s="80"/>
      <c r="J243" s="80"/>
      <c r="K243" s="80"/>
      <c r="L243" s="80"/>
      <c r="M243" s="80"/>
    </row>
    <row r="244" spans="1:13">
      <c r="A244" s="84"/>
      <c r="B244" s="84"/>
      <c r="C244" s="85"/>
      <c r="D244" s="86"/>
      <c r="E244" s="87"/>
      <c r="F244" s="85"/>
      <c r="G244" s="88"/>
      <c r="H244" s="80"/>
      <c r="I244" s="80"/>
      <c r="J244" s="80"/>
      <c r="K244" s="80"/>
      <c r="L244" s="80"/>
      <c r="M244" s="80"/>
    </row>
    <row r="245" spans="1:13">
      <c r="A245" s="84"/>
      <c r="B245" s="84"/>
      <c r="C245" s="85"/>
      <c r="D245" s="86"/>
      <c r="E245" s="87"/>
      <c r="F245" s="85"/>
      <c r="G245" s="88"/>
      <c r="H245" s="80"/>
      <c r="I245" s="80"/>
      <c r="J245" s="80"/>
      <c r="K245" s="80"/>
      <c r="L245" s="80"/>
      <c r="M245" s="80"/>
    </row>
    <row r="246" spans="1:13">
      <c r="A246" s="84"/>
      <c r="B246" s="84"/>
      <c r="C246" s="85"/>
      <c r="D246" s="86"/>
      <c r="E246" s="87"/>
      <c r="F246" s="85"/>
      <c r="G246" s="88"/>
      <c r="H246" s="80"/>
      <c r="I246" s="80"/>
      <c r="J246" s="80"/>
      <c r="K246" s="80"/>
      <c r="L246" s="80"/>
      <c r="M246" s="80"/>
    </row>
    <row r="247" spans="1:13">
      <c r="A247" s="84"/>
      <c r="B247" s="84"/>
      <c r="C247" s="85"/>
      <c r="D247" s="86"/>
      <c r="E247" s="87"/>
      <c r="F247" s="85"/>
      <c r="G247" s="88"/>
      <c r="H247" s="80"/>
      <c r="I247" s="80"/>
      <c r="J247" s="80"/>
      <c r="K247" s="80"/>
      <c r="L247" s="80"/>
      <c r="M247" s="80"/>
    </row>
    <row r="248" spans="1:13">
      <c r="A248" s="84"/>
      <c r="B248" s="84"/>
      <c r="C248" s="85"/>
      <c r="D248" s="86"/>
      <c r="E248" s="87"/>
      <c r="F248" s="85"/>
      <c r="G248" s="88"/>
      <c r="H248" s="80"/>
      <c r="I248" s="80"/>
      <c r="J248" s="80"/>
      <c r="K248" s="80"/>
      <c r="L248" s="80"/>
      <c r="M248" s="80"/>
    </row>
    <row r="249" spans="1:13">
      <c r="A249" s="84"/>
      <c r="B249" s="84"/>
      <c r="C249" s="85"/>
      <c r="D249" s="86"/>
      <c r="E249" s="87"/>
      <c r="F249" s="85"/>
      <c r="G249" s="88"/>
      <c r="H249" s="80"/>
      <c r="I249" s="80"/>
      <c r="J249" s="80"/>
      <c r="K249" s="80"/>
      <c r="L249" s="80"/>
      <c r="M249" s="80"/>
    </row>
    <row r="250" spans="1:13">
      <c r="A250" s="84"/>
      <c r="B250" s="84"/>
      <c r="C250" s="85"/>
      <c r="D250" s="86"/>
      <c r="E250" s="87"/>
      <c r="F250" s="85"/>
      <c r="G250" s="88"/>
      <c r="H250" s="80"/>
      <c r="I250" s="80"/>
      <c r="J250" s="80"/>
      <c r="K250" s="80"/>
      <c r="L250" s="80"/>
      <c r="M250" s="80"/>
    </row>
    <row r="251" spans="1:13">
      <c r="A251" s="84"/>
      <c r="B251" s="84"/>
      <c r="C251" s="85"/>
      <c r="D251" s="86"/>
      <c r="E251" s="87"/>
      <c r="F251" s="85"/>
      <c r="G251" s="88"/>
      <c r="H251" s="80"/>
      <c r="I251" s="80"/>
      <c r="J251" s="80"/>
      <c r="K251" s="80"/>
      <c r="L251" s="80"/>
      <c r="M251" s="80"/>
    </row>
    <row r="252" spans="1:13">
      <c r="A252" s="84"/>
      <c r="B252" s="84"/>
      <c r="C252" s="85"/>
      <c r="D252" s="86"/>
      <c r="E252" s="87"/>
      <c r="F252" s="85"/>
      <c r="G252" s="88"/>
      <c r="H252" s="80"/>
      <c r="I252" s="80"/>
      <c r="J252" s="80"/>
      <c r="K252" s="80"/>
      <c r="L252" s="80"/>
      <c r="M252" s="80"/>
    </row>
    <row r="253" spans="1:13">
      <c r="A253" s="84"/>
      <c r="B253" s="84"/>
      <c r="C253" s="85"/>
      <c r="D253" s="86"/>
      <c r="E253" s="87"/>
      <c r="F253" s="85"/>
      <c r="G253" s="88"/>
      <c r="H253" s="80"/>
      <c r="I253" s="80"/>
      <c r="J253" s="80"/>
      <c r="K253" s="80"/>
      <c r="L253" s="80"/>
      <c r="M253" s="80"/>
    </row>
    <row r="254" spans="1:13">
      <c r="A254" s="84"/>
      <c r="B254" s="84"/>
      <c r="C254" s="85"/>
      <c r="D254" s="86"/>
      <c r="E254" s="87"/>
      <c r="F254" s="85"/>
      <c r="G254" s="88"/>
      <c r="H254" s="80"/>
      <c r="I254" s="80"/>
      <c r="J254" s="80"/>
      <c r="K254" s="80"/>
      <c r="L254" s="80"/>
      <c r="M254" s="80"/>
    </row>
    <row r="255" spans="1:13">
      <c r="A255" s="84"/>
      <c r="B255" s="84"/>
      <c r="C255" s="85"/>
      <c r="D255" s="86"/>
      <c r="E255" s="87"/>
      <c r="F255" s="85"/>
      <c r="G255" s="88"/>
      <c r="H255" s="80"/>
      <c r="I255" s="80"/>
      <c r="J255" s="80"/>
      <c r="K255" s="80"/>
      <c r="L255" s="80"/>
      <c r="M255" s="80"/>
    </row>
    <row r="256" spans="1:13">
      <c r="A256" s="84"/>
      <c r="B256" s="84"/>
      <c r="C256" s="85"/>
      <c r="D256" s="86"/>
      <c r="E256" s="87"/>
      <c r="F256" s="85"/>
      <c r="G256" s="88"/>
      <c r="H256" s="80"/>
      <c r="I256" s="80"/>
      <c r="J256" s="80"/>
      <c r="K256" s="80"/>
      <c r="L256" s="80"/>
      <c r="M256" s="80"/>
    </row>
    <row r="257" spans="1:13">
      <c r="A257" s="84"/>
      <c r="B257" s="84"/>
      <c r="C257" s="85"/>
      <c r="D257" s="86"/>
      <c r="E257" s="87"/>
      <c r="F257" s="85"/>
      <c r="G257" s="88"/>
      <c r="H257" s="80"/>
      <c r="I257" s="80"/>
      <c r="J257" s="80"/>
      <c r="K257" s="80"/>
      <c r="L257" s="80"/>
      <c r="M257" s="80"/>
    </row>
    <row r="258" spans="1:13">
      <c r="A258" s="84"/>
      <c r="B258" s="84"/>
      <c r="C258" s="85"/>
      <c r="D258" s="86"/>
      <c r="E258" s="87"/>
      <c r="F258" s="85"/>
      <c r="G258" s="88"/>
      <c r="H258" s="80"/>
      <c r="I258" s="80"/>
      <c r="J258" s="80"/>
      <c r="K258" s="80"/>
      <c r="L258" s="80"/>
      <c r="M258" s="80"/>
    </row>
    <row r="259" spans="1:13">
      <c r="A259" s="84"/>
      <c r="B259" s="84"/>
      <c r="C259" s="85"/>
      <c r="D259" s="86"/>
      <c r="E259" s="87"/>
      <c r="F259" s="85"/>
      <c r="G259" s="88"/>
      <c r="H259" s="80"/>
      <c r="I259" s="80"/>
      <c r="J259" s="80"/>
      <c r="K259" s="80"/>
      <c r="L259" s="80"/>
      <c r="M259" s="80"/>
    </row>
    <row r="260" spans="1:13">
      <c r="A260" s="84"/>
      <c r="B260" s="84"/>
      <c r="C260" s="85"/>
      <c r="D260" s="86"/>
      <c r="E260" s="87"/>
      <c r="F260" s="85"/>
      <c r="G260" s="88"/>
      <c r="H260" s="80"/>
      <c r="I260" s="80"/>
      <c r="J260" s="80"/>
      <c r="K260" s="80"/>
      <c r="L260" s="80"/>
      <c r="M260" s="80"/>
    </row>
    <row r="261" spans="1:13">
      <c r="A261" s="84"/>
      <c r="B261" s="84"/>
      <c r="C261" s="85"/>
      <c r="D261" s="86"/>
      <c r="E261" s="87"/>
      <c r="F261" s="85"/>
      <c r="G261" s="88"/>
      <c r="H261" s="80"/>
      <c r="I261" s="80"/>
      <c r="J261" s="80"/>
      <c r="K261" s="80"/>
      <c r="L261" s="80"/>
      <c r="M261" s="80"/>
    </row>
    <row r="262" spans="1:13">
      <c r="A262" s="84"/>
      <c r="B262" s="84"/>
      <c r="C262" s="85"/>
      <c r="D262" s="86"/>
      <c r="E262" s="87"/>
      <c r="F262" s="85"/>
      <c r="G262" s="88"/>
      <c r="H262" s="80"/>
      <c r="I262" s="80"/>
      <c r="J262" s="80"/>
      <c r="K262" s="80"/>
      <c r="L262" s="80"/>
      <c r="M262" s="80"/>
    </row>
    <row r="263" spans="1:13">
      <c r="A263" s="84"/>
      <c r="B263" s="84"/>
      <c r="C263" s="85"/>
      <c r="D263" s="86"/>
      <c r="E263" s="87"/>
      <c r="F263" s="85"/>
      <c r="G263" s="88"/>
      <c r="H263" s="80"/>
      <c r="I263" s="80"/>
      <c r="J263" s="80"/>
      <c r="K263" s="80"/>
      <c r="L263" s="80"/>
      <c r="M263" s="80"/>
    </row>
    <row r="264" spans="1:13">
      <c r="A264" s="84"/>
      <c r="B264" s="84"/>
      <c r="C264" s="85"/>
      <c r="D264" s="86"/>
      <c r="E264" s="87"/>
      <c r="F264" s="85"/>
      <c r="G264" s="88"/>
      <c r="H264" s="80"/>
      <c r="I264" s="80"/>
      <c r="J264" s="80"/>
      <c r="K264" s="80"/>
      <c r="L264" s="80"/>
      <c r="M264" s="80"/>
    </row>
    <row r="265" spans="1:13">
      <c r="A265" s="84"/>
      <c r="B265" s="84"/>
      <c r="C265" s="85"/>
      <c r="D265" s="86"/>
      <c r="E265" s="87"/>
      <c r="F265" s="85"/>
      <c r="G265" s="88"/>
      <c r="H265" s="80"/>
      <c r="I265" s="80"/>
      <c r="J265" s="80"/>
      <c r="K265" s="80"/>
      <c r="L265" s="80"/>
      <c r="M265" s="80"/>
    </row>
    <row r="266" spans="1:13">
      <c r="A266" s="84"/>
      <c r="B266" s="84"/>
      <c r="C266" s="85"/>
      <c r="D266" s="86"/>
      <c r="E266" s="87"/>
      <c r="F266" s="85"/>
      <c r="G266" s="88"/>
      <c r="H266" s="80"/>
      <c r="I266" s="80"/>
      <c r="J266" s="80"/>
      <c r="K266" s="80"/>
      <c r="L266" s="80"/>
      <c r="M266" s="80"/>
    </row>
    <row r="267" spans="1:13">
      <c r="A267" s="84"/>
      <c r="B267" s="84"/>
      <c r="C267" s="85"/>
      <c r="D267" s="86"/>
      <c r="E267" s="87"/>
      <c r="F267" s="85"/>
      <c r="G267" s="88"/>
      <c r="H267" s="80"/>
      <c r="I267" s="80"/>
      <c r="J267" s="80"/>
      <c r="K267" s="80"/>
      <c r="L267" s="80"/>
      <c r="M267" s="80"/>
    </row>
    <row r="268" spans="1:13">
      <c r="A268" s="84"/>
      <c r="B268" s="84"/>
      <c r="C268" s="85"/>
      <c r="D268" s="86"/>
      <c r="E268" s="87"/>
      <c r="F268" s="85"/>
      <c r="G268" s="88"/>
      <c r="H268" s="80"/>
      <c r="I268" s="80"/>
      <c r="J268" s="80"/>
      <c r="K268" s="80"/>
      <c r="L268" s="80"/>
      <c r="M268" s="80"/>
    </row>
    <row r="269" spans="1:13">
      <c r="A269" s="84"/>
      <c r="B269" s="84"/>
      <c r="C269" s="85"/>
      <c r="D269" s="86"/>
      <c r="E269" s="87"/>
      <c r="F269" s="85"/>
      <c r="G269" s="88"/>
      <c r="H269" s="80"/>
      <c r="I269" s="80"/>
      <c r="J269" s="80"/>
      <c r="K269" s="80"/>
      <c r="L269" s="80"/>
      <c r="M269" s="80"/>
    </row>
    <row r="270" spans="1:13">
      <c r="A270" s="84"/>
      <c r="B270" s="84"/>
      <c r="C270" s="85"/>
      <c r="D270" s="86"/>
      <c r="E270" s="87"/>
      <c r="F270" s="85"/>
      <c r="G270" s="88"/>
      <c r="H270" s="80"/>
      <c r="I270" s="80"/>
      <c r="J270" s="80"/>
      <c r="K270" s="80"/>
      <c r="L270" s="80"/>
      <c r="M270" s="80"/>
    </row>
    <row r="271" spans="1:13">
      <c r="A271" s="84"/>
      <c r="B271" s="84"/>
      <c r="C271" s="85"/>
      <c r="D271" s="86"/>
      <c r="E271" s="87"/>
      <c r="F271" s="85"/>
      <c r="G271" s="88"/>
      <c r="H271" s="80"/>
      <c r="I271" s="80"/>
      <c r="J271" s="80"/>
      <c r="K271" s="80"/>
      <c r="L271" s="80"/>
      <c r="M271" s="80"/>
    </row>
    <row r="272" spans="1:13">
      <c r="A272" s="84"/>
      <c r="B272" s="84"/>
      <c r="C272" s="85"/>
      <c r="D272" s="86"/>
      <c r="E272" s="87"/>
      <c r="F272" s="85"/>
      <c r="G272" s="88"/>
      <c r="H272" s="80"/>
      <c r="I272" s="80"/>
      <c r="J272" s="80"/>
      <c r="K272" s="80"/>
      <c r="L272" s="80"/>
      <c r="M272" s="80"/>
    </row>
  </sheetData>
  <mergeCells count="14">
    <mergeCell ref="L3:L4"/>
    <mergeCell ref="M3:M4"/>
    <mergeCell ref="N3:N4"/>
    <mergeCell ref="A219:N219"/>
    <mergeCell ref="A1:N1"/>
    <mergeCell ref="A2:A4"/>
    <mergeCell ref="B2:B4"/>
    <mergeCell ref="H2:J2"/>
    <mergeCell ref="K2:K4"/>
    <mergeCell ref="L2:N2"/>
    <mergeCell ref="G3:G4"/>
    <mergeCell ref="H3:H4"/>
    <mergeCell ref="I3:I4"/>
    <mergeCell ref="J3:J4"/>
  </mergeCells>
  <conditionalFormatting sqref="G110:G111 A110:A111">
    <cfRule type="expression" dxfId="5" priority="6">
      <formula>#REF!&lt;#REF!</formula>
    </cfRule>
  </conditionalFormatting>
  <conditionalFormatting sqref="G104:G105">
    <cfRule type="expression" dxfId="4" priority="5">
      <formula>G$210&lt;&gt;SUM(G$211:G$212)</formula>
    </cfRule>
  </conditionalFormatting>
  <conditionalFormatting sqref="G131:G152">
    <cfRule type="expression" dxfId="3" priority="4">
      <formula>#REF!&lt;&gt;SUM(#REF!,#REF!,#REF!,#REF!)</formula>
    </cfRule>
  </conditionalFormatting>
  <conditionalFormatting sqref="G136:G140">
    <cfRule type="expression" dxfId="2" priority="3">
      <formula>#REF!&lt;&gt;SUM(#REF!)</formula>
    </cfRule>
  </conditionalFormatting>
  <conditionalFormatting sqref="G146:G151">
    <cfRule type="expression" dxfId="1" priority="2">
      <formula>#REF!&lt;&gt;SUM(#REF!)</formula>
    </cfRule>
  </conditionalFormatting>
  <conditionalFormatting sqref="G106:G109">
    <cfRule type="expression" dxfId="0" priority="1">
      <formula>#REF!&lt;&gt;SUM(#REF!)</formula>
    </cfRule>
  </conditionalFormatting>
  <pageMargins left="0.31496062992125984" right="0.27559055118110237" top="0.98425196850393704" bottom="0.98425196850393704" header="0.51181102362204722" footer="0.51181102362204722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E4:F11"/>
  <sheetViews>
    <sheetView topLeftCell="A7" workbookViewId="0">
      <selection activeCell="F12" sqref="F12"/>
    </sheetView>
  </sheetViews>
  <sheetFormatPr defaultRowHeight="15"/>
  <cols>
    <col min="5" max="5" width="31.7109375" customWidth="1"/>
  </cols>
  <sheetData>
    <row r="4" spans="5:6" ht="15.75" thickBot="1"/>
    <row r="5" spans="5:6" ht="48" thickBot="1">
      <c r="E5" s="131" t="s">
        <v>206</v>
      </c>
      <c r="F5" s="132">
        <v>2713.99</v>
      </c>
    </row>
    <row r="6" spans="5:6" ht="32.25" thickBot="1">
      <c r="E6" s="133" t="s">
        <v>207</v>
      </c>
      <c r="F6" s="134">
        <v>2217.5819999999999</v>
      </c>
    </row>
    <row r="7" spans="5:6" ht="32.25" thickBot="1">
      <c r="E7" s="133" t="s">
        <v>208</v>
      </c>
      <c r="F7" s="134">
        <v>2045.1569999999999</v>
      </c>
    </row>
    <row r="8" spans="5:6" ht="32.25" thickBot="1">
      <c r="E8" s="133" t="s">
        <v>209</v>
      </c>
      <c r="F8" s="134">
        <v>2157.17</v>
      </c>
    </row>
    <row r="9" spans="5:6" ht="48" thickBot="1">
      <c r="E9" s="133" t="s">
        <v>210</v>
      </c>
      <c r="F9" s="134">
        <v>6254.951</v>
      </c>
    </row>
    <row r="10" spans="5:6" ht="48" thickBot="1">
      <c r="E10" s="133" t="s">
        <v>211</v>
      </c>
      <c r="F10" s="134">
        <v>2129.2550000000001</v>
      </c>
    </row>
    <row r="11" spans="5:6">
      <c r="F11">
        <f>SUM(F5:F10)</f>
        <v>17518.105000000003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Прогноз 2020-2022</vt:lpstr>
      <vt:lpstr>Лист3</vt:lpstr>
      <vt:lpstr>' Прогноз 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2020-03-02T14:20:06Z</dcterms:modified>
</cp:coreProperties>
</file>