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2000" windowHeight="10905"/>
  </bookViews>
  <sheets>
    <sheet name=" Прогноз 2015-2017" sheetId="4" r:id="rId1"/>
    <sheet name="Лист1" sheetId="1" r:id="rId2"/>
    <sheet name="Лист2" sheetId="2" r:id="rId3"/>
    <sheet name="Лист3" sheetId="3" r:id="rId4"/>
  </sheets>
  <externalReferences>
    <externalReference r:id="rId5"/>
  </externalReferences>
  <definedNames>
    <definedName name="_xlnm.Print_Area" localSheetId="0">' Прогноз 2015-2017'!$A$1:$M$237</definedName>
  </definedNames>
  <calcPr calcId="125725"/>
</workbook>
</file>

<file path=xl/calcChain.xml><?xml version="1.0" encoding="utf-8"?>
<calcChain xmlns="http://schemas.openxmlformats.org/spreadsheetml/2006/main">
  <c r="J250" i="4"/>
  <c r="L250" s="1"/>
  <c r="M230"/>
  <c r="L230"/>
  <c r="K230"/>
  <c r="J230"/>
  <c r="I230"/>
  <c r="J228"/>
  <c r="I228"/>
  <c r="H228"/>
  <c r="G228"/>
  <c r="M227"/>
  <c r="L227"/>
  <c r="K227"/>
  <c r="M225"/>
  <c r="L225"/>
  <c r="K225"/>
  <c r="J225"/>
  <c r="H224"/>
  <c r="G224"/>
  <c r="M220"/>
  <c r="L220"/>
  <c r="K220"/>
  <c r="J220"/>
  <c r="I217"/>
  <c r="G217"/>
  <c r="J215"/>
  <c r="I215"/>
  <c r="G215"/>
  <c r="L212"/>
  <c r="M212" s="1"/>
  <c r="K212"/>
  <c r="K210"/>
  <c r="L210" s="1"/>
  <c r="M210" s="1"/>
  <c r="M209"/>
  <c r="L209"/>
  <c r="K209"/>
  <c r="M203"/>
  <c r="L203"/>
  <c r="K203"/>
  <c r="J203"/>
  <c r="I203"/>
  <c r="H201"/>
  <c r="G201"/>
  <c r="J200"/>
  <c r="M195"/>
  <c r="L195"/>
  <c r="K195"/>
  <c r="J195"/>
  <c r="I195"/>
  <c r="G195"/>
  <c r="M193"/>
  <c r="L193"/>
  <c r="K193"/>
  <c r="I193"/>
  <c r="J189"/>
  <c r="L188"/>
  <c r="M188" s="1"/>
  <c r="K188"/>
  <c r="J188"/>
  <c r="J187"/>
  <c r="M186"/>
  <c r="L186"/>
  <c r="I186"/>
  <c r="H186"/>
  <c r="G186"/>
  <c r="G181" s="1"/>
  <c r="M185"/>
  <c r="L185"/>
  <c r="K185"/>
  <c r="M184"/>
  <c r="L184"/>
  <c r="K184"/>
  <c r="J184"/>
  <c r="M183"/>
  <c r="L183"/>
  <c r="K183"/>
  <c r="G183"/>
  <c r="M182"/>
  <c r="L182"/>
  <c r="K182"/>
  <c r="J182"/>
  <c r="M181"/>
  <c r="L181"/>
  <c r="K181"/>
  <c r="J181"/>
  <c r="H181"/>
  <c r="K180"/>
  <c r="L180" s="1"/>
  <c r="M180" s="1"/>
  <c r="J180"/>
  <c r="M179"/>
  <c r="L179"/>
  <c r="K179"/>
  <c r="I179"/>
  <c r="H179"/>
  <c r="H170" s="1"/>
  <c r="H180" s="1"/>
  <c r="G179"/>
  <c r="G170" s="1"/>
  <c r="K178"/>
  <c r="L178" s="1"/>
  <c r="M178" s="1"/>
  <c r="J177"/>
  <c r="K177" s="1"/>
  <c r="L177" s="1"/>
  <c r="M177" s="1"/>
  <c r="M176"/>
  <c r="L176"/>
  <c r="K176"/>
  <c r="M175"/>
  <c r="L175"/>
  <c r="K175"/>
  <c r="L174"/>
  <c r="M174" s="1"/>
  <c r="K174"/>
  <c r="K170" s="1"/>
  <c r="K187" s="1"/>
  <c r="I174"/>
  <c r="L173"/>
  <c r="M173" s="1"/>
  <c r="M170" s="1"/>
  <c r="M187" s="1"/>
  <c r="M172"/>
  <c r="L172"/>
  <c r="K172"/>
  <c r="J170"/>
  <c r="I170"/>
  <c r="J168"/>
  <c r="I168"/>
  <c r="K158"/>
  <c r="M154"/>
  <c r="M150" s="1"/>
  <c r="M145" s="1"/>
  <c r="L150"/>
  <c r="L145" s="1"/>
  <c r="K150"/>
  <c r="K145" s="1"/>
  <c r="I150"/>
  <c r="H150"/>
  <c r="J145"/>
  <c r="I145"/>
  <c r="K144"/>
  <c r="I144"/>
  <c r="M139"/>
  <c r="L139"/>
  <c r="L117" s="1"/>
  <c r="K139"/>
  <c r="I139"/>
  <c r="H139"/>
  <c r="I137"/>
  <c r="I134" s="1"/>
  <c r="H137"/>
  <c r="J134"/>
  <c r="H134"/>
  <c r="M133"/>
  <c r="K127"/>
  <c r="J127"/>
  <c r="I127"/>
  <c r="I118" s="1"/>
  <c r="I117" s="1"/>
  <c r="I167" s="1"/>
  <c r="H127"/>
  <c r="H118" s="1"/>
  <c r="H117" s="1"/>
  <c r="H167" s="1"/>
  <c r="H125"/>
  <c r="M121"/>
  <c r="L121"/>
  <c r="K121"/>
  <c r="I121"/>
  <c r="H121"/>
  <c r="K118"/>
  <c r="K117" s="1"/>
  <c r="K167" s="1"/>
  <c r="J118"/>
  <c r="J117" s="1"/>
  <c r="M117"/>
  <c r="M167" s="1"/>
  <c r="M111"/>
  <c r="L111"/>
  <c r="K111"/>
  <c r="K99" s="1"/>
  <c r="J111"/>
  <c r="G110"/>
  <c r="J109"/>
  <c r="J108"/>
  <c r="M104"/>
  <c r="L104"/>
  <c r="K104"/>
  <c r="J104"/>
  <c r="J99" s="1"/>
  <c r="I104"/>
  <c r="H104"/>
  <c r="G104"/>
  <c r="M99"/>
  <c r="L99"/>
  <c r="I99"/>
  <c r="G99"/>
  <c r="M93"/>
  <c r="L93"/>
  <c r="K93"/>
  <c r="J93"/>
  <c r="H92"/>
  <c r="H93" s="1"/>
  <c r="G89"/>
  <c r="H89" s="1"/>
  <c r="I89" s="1"/>
  <c r="J89" s="1"/>
  <c r="H88"/>
  <c r="H87"/>
  <c r="L86"/>
  <c r="M86" s="1"/>
  <c r="H86"/>
  <c r="H82" s="1"/>
  <c r="H85"/>
  <c r="H84"/>
  <c r="M82"/>
  <c r="J82"/>
  <c r="J70"/>
  <c r="I70"/>
  <c r="H70"/>
  <c r="G69"/>
  <c r="M66"/>
  <c r="L66"/>
  <c r="K66"/>
  <c r="K58" s="1"/>
  <c r="H66"/>
  <c r="M63"/>
  <c r="M58" s="1"/>
  <c r="L63"/>
  <c r="M62"/>
  <c r="L62"/>
  <c r="L61"/>
  <c r="L58" s="1"/>
  <c r="J58"/>
  <c r="I58"/>
  <c r="H58"/>
  <c r="M42"/>
  <c r="L42"/>
  <c r="H42"/>
  <c r="J41"/>
  <c r="J42" s="1"/>
  <c r="H41"/>
  <c r="I42" s="1"/>
  <c r="M38"/>
  <c r="L38"/>
  <c r="K38"/>
  <c r="H38"/>
  <c r="I37"/>
  <c r="I38" s="1"/>
  <c r="J35"/>
  <c r="I35"/>
  <c r="H35"/>
  <c r="G35"/>
  <c r="M23"/>
  <c r="L23"/>
  <c r="K23"/>
  <c r="J23"/>
  <c r="M22"/>
  <c r="H22"/>
  <c r="H23" s="1"/>
  <c r="G22"/>
  <c r="M19"/>
  <c r="L19"/>
  <c r="I19"/>
  <c r="H19"/>
  <c r="J18"/>
  <c r="J19" s="1"/>
  <c r="J7"/>
  <c r="I7"/>
  <c r="K6"/>
  <c r="K7" s="1"/>
  <c r="G187" l="1"/>
  <c r="G180"/>
  <c r="K19"/>
  <c r="K35"/>
  <c r="K228"/>
  <c r="I23"/>
  <c r="K42"/>
  <c r="L170"/>
  <c r="L187" s="1"/>
  <c r="J38"/>
  <c r="I93"/>
  <c r="L6"/>
  <c r="G82"/>
  <c r="L35" l="1"/>
  <c r="L7"/>
  <c r="M6"/>
  <c r="L228"/>
  <c r="M35" l="1"/>
  <c r="M7"/>
  <c r="M228"/>
</calcChain>
</file>

<file path=xl/sharedStrings.xml><?xml version="1.0" encoding="utf-8"?>
<sst xmlns="http://schemas.openxmlformats.org/spreadsheetml/2006/main" count="545" uniqueCount="219">
  <si>
    <t xml:space="preserve"> Прогноз социально-экономического развития  на 2015  год  и на плановый период   2016 и 2017 годов</t>
  </si>
  <si>
    <t>Показатели</t>
  </si>
  <si>
    <t>Единица измерения</t>
  </si>
  <si>
    <t>Код</t>
  </si>
  <si>
    <t>Доп. Код</t>
  </si>
  <si>
    <t>Код отрасли</t>
  </si>
  <si>
    <t>Форма собственности</t>
  </si>
  <si>
    <t>отчет</t>
  </si>
  <si>
    <t>оценка</t>
  </si>
  <si>
    <t>прогноз</t>
  </si>
  <si>
    <t>1. Демографические показатели</t>
  </si>
  <si>
    <t xml:space="preserve">Численность постоянного населения (среднегодовая) </t>
  </si>
  <si>
    <t>тыс. человек</t>
  </si>
  <si>
    <t xml:space="preserve">темп роста </t>
  </si>
  <si>
    <t>% к пред.  году</t>
  </si>
  <si>
    <t xml:space="preserve">индекс-дефлятор </t>
  </si>
  <si>
    <t>2. Производство товаров и услуг</t>
  </si>
  <si>
    <t xml:space="preserve">   2.1. Валовой региональный продукт</t>
  </si>
  <si>
    <t>Расчеты ВРП  Дагестанстат  рассчитывает только по республике</t>
  </si>
  <si>
    <t xml:space="preserve">Валовой региональный продукт (в основных ценах соответствующих лет) - всего </t>
  </si>
  <si>
    <t xml:space="preserve">млн. руб. </t>
  </si>
  <si>
    <t>2.2.1 Выпуск товаров и услуг</t>
  </si>
  <si>
    <t>Выпуск товаров и услуг</t>
  </si>
  <si>
    <t>млн. руб. в основных ценах соответствующих лет</t>
  </si>
  <si>
    <t>2.2. Промышленное производство</t>
  </si>
  <si>
    <t>Добыча полезных ископаемых</t>
  </si>
  <si>
    <t>Объем отгруженных товаров собственного производства, выполненных работ и услуг собственными силами</t>
  </si>
  <si>
    <t>2.3. Сельское хозяйство</t>
  </si>
  <si>
    <t>Продукция сельского хозяйства  в хозяйствах всех категорий</t>
  </si>
  <si>
    <t xml:space="preserve">млн.руб. </t>
  </si>
  <si>
    <t>в том числе:</t>
  </si>
  <si>
    <t>Продукция растениеводства</t>
  </si>
  <si>
    <t>Продукция животноводства</t>
  </si>
  <si>
    <t>2.4. Транспорт и связь</t>
  </si>
  <si>
    <t>2.4.1. Транспорт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</si>
  <si>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</t>
  </si>
  <si>
    <t>км</t>
  </si>
  <si>
    <t>2.4.2. Связь</t>
  </si>
  <si>
    <t>Объем  услуг связи - всего</t>
  </si>
  <si>
    <t>-</t>
  </si>
  <si>
    <t>Плотность телефонных аппаратов фиксированной электросвязи на 100 человек населения</t>
  </si>
  <si>
    <t>единиц</t>
  </si>
  <si>
    <t>Количество абонентов, подключенных к сетям подвижной связи</t>
  </si>
  <si>
    <t>млн.ед.</t>
  </si>
  <si>
    <t>Количество почтовых ящиков на 10000 человек</t>
  </si>
  <si>
    <t>2.5. Строительство</t>
  </si>
  <si>
    <t xml:space="preserve">Объем работ, выполненных по виду деятельности "строительство" </t>
  </si>
  <si>
    <t>3. Рынок товаров и услуг</t>
  </si>
  <si>
    <t xml:space="preserve">Оборот розничной торговли </t>
  </si>
  <si>
    <t>млн. руб.</t>
  </si>
  <si>
    <t>4. Внешнеэкономическая деятельность</t>
  </si>
  <si>
    <t>Экспорт товаров</t>
  </si>
  <si>
    <t xml:space="preserve"> млн. долл. США</t>
  </si>
  <si>
    <t>Импорт товаров</t>
  </si>
  <si>
    <t xml:space="preserve">5. Малое и среднее предпринимательство </t>
  </si>
  <si>
    <t>Число средних предприятий (на конец года)</t>
  </si>
  <si>
    <t>в том числе по отдельным видам экономической деятельности:</t>
  </si>
  <si>
    <t>добыча полезных ископаемых</t>
  </si>
  <si>
    <t>обрабатывающие производства</t>
  </si>
  <si>
    <t>производство и распределение электроэнергии, газа и воды</t>
  </si>
  <si>
    <t>строительство</t>
  </si>
  <si>
    <t>оптовая и розничная торговля, ремонт автотранспортных средств, мотоциклов, бытовых изделий и предметов личного пользования</t>
  </si>
  <si>
    <t>транспорт и связь</t>
  </si>
  <si>
    <t>операции с недвижимом имуществом, аренда и предоставление услуг, в том числе:</t>
  </si>
  <si>
    <t xml:space="preserve">       научные исследования и разработки</t>
  </si>
  <si>
    <t>Число малых предприятий, включая микропредприятия (на конец года)</t>
  </si>
  <si>
    <t>сельское хозяйство, охота и лесное хозяйство</t>
  </si>
  <si>
    <t>ПРОЧИЕ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</si>
  <si>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</si>
  <si>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</si>
  <si>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в том числе по видам экономической деятельности:</t>
  </si>
  <si>
    <t>операции с недвижимом имуществом, аренда и предоставление услуг</t>
  </si>
  <si>
    <t>научные исследования и разработки</t>
  </si>
  <si>
    <t>Оборот малых предприятий, включая микропредприятия</t>
  </si>
  <si>
    <t>6. Инвестиции</t>
  </si>
  <si>
    <t>Объем инвестиций в основной капитал за счет всех источников финансирования</t>
  </si>
  <si>
    <t>Объем инвестиций в основной капитал, финансируемых за счет собственных средств организаций</t>
  </si>
  <si>
    <t>из них:</t>
  </si>
  <si>
    <t>прибыль</t>
  </si>
  <si>
    <t>амортизация</t>
  </si>
  <si>
    <t>Объем инвестиций в основной капитал, финансируемых за счет привлеченных средств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</si>
  <si>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</si>
  <si>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</si>
  <si>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</si>
  <si>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</si>
  <si>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из федерального бюджета</t>
  </si>
  <si>
    <t>из него по федеральной адресной инвестиционной программе</t>
  </si>
  <si>
    <t>из бюджетов субъектов федерации</t>
  </si>
  <si>
    <t>средства местного фондов</t>
  </si>
  <si>
    <t xml:space="preserve">прочие  </t>
  </si>
  <si>
    <t>Ввод в действие основных фондов</t>
  </si>
  <si>
    <t>7. Основные фонды</t>
  </si>
  <si>
    <t>Ввод действии новых основных фондов</t>
  </si>
  <si>
    <t>млн.руб.</t>
  </si>
  <si>
    <t>Среднегодовая стоимость ОФ</t>
  </si>
  <si>
    <t>Ввод действию жилых домов за счет всех источников финансирования</t>
  </si>
  <si>
    <t>тыс.кв.м общ.пл-ди</t>
  </si>
  <si>
    <t>8. Финансы</t>
  </si>
  <si>
    <t>Доходы местного бюджета - всего</t>
  </si>
  <si>
    <t>Налоговые доходы</t>
  </si>
  <si>
    <t>налоги на прибыль - всего</t>
  </si>
  <si>
    <t>налог на доходы физических лиц</t>
  </si>
  <si>
    <t>налоги на имущество - всего</t>
  </si>
  <si>
    <t>налог на имущество физических лиц</t>
  </si>
  <si>
    <t>транспортный налог</t>
  </si>
  <si>
    <t>земельный налог</t>
  </si>
  <si>
    <t>налоги на товары (работы, услуги) реализуемые на территории РФ</t>
  </si>
  <si>
    <t>акцизы по подакцизным товарам, производимым на территории РФ</t>
  </si>
  <si>
    <t>налоги на совокупный доход - всего</t>
  </si>
  <si>
    <t>единый налог на временный доход для отдельных видов деятельности</t>
  </si>
  <si>
    <t>единый налог, взимаемый по упрощенной системе налогообложения</t>
  </si>
  <si>
    <t>единый сельскохозяйственный налог</t>
  </si>
  <si>
    <t>налоги, сборы и платежи за пользование природными ресурсами</t>
  </si>
  <si>
    <t>НДС</t>
  </si>
  <si>
    <t>прочие налоговые доходы</t>
  </si>
  <si>
    <t>Неналоговые доходы</t>
  </si>
  <si>
    <t>доходы от использования имущества, находящегося в муниципальной собственности</t>
  </si>
  <si>
    <t>в том числе от сдачи в аренду муниципального имущества</t>
  </si>
  <si>
    <t>доходы от продажи материальных и нематериальных активов</t>
  </si>
  <si>
    <t>другие неналоговые доходы</t>
  </si>
  <si>
    <t>Безвозмездные поступления - всего</t>
  </si>
  <si>
    <t>дотации от других бюджетов бюджетной системы РФ</t>
  </si>
  <si>
    <t>субвенции от других бюджетов бюджетной системы РФ</t>
  </si>
  <si>
    <t>средства, получаемые на компенсацию дополнительных расходов по решениям, принятым органами власти другого уровня</t>
  </si>
  <si>
    <t>субсидии от других бюджетов бюджетной системы РФ</t>
  </si>
  <si>
    <t>прочие безвозмездные поступления</t>
  </si>
  <si>
    <t>Расходы местного бюджета - всего</t>
  </si>
  <si>
    <t>Общегосударственные вопросы</t>
  </si>
  <si>
    <t>функционирование законодательных (представительных) органов МС</t>
  </si>
  <si>
    <t>функционирование местных администраций</t>
  </si>
  <si>
    <t>обслуживание государственного и муниципального долга</t>
  </si>
  <si>
    <t>Национальная экономика</t>
  </si>
  <si>
    <t>топливо и энергетика</t>
  </si>
  <si>
    <t>сельское хозяйство и рыболовство</t>
  </si>
  <si>
    <t>транспорт-дорожное хозяйство</t>
  </si>
  <si>
    <t>другие вопросы в области национальной экономики</t>
  </si>
  <si>
    <t>Жилищно-коммунальное хозяйство</t>
  </si>
  <si>
    <t>Охрана окружающей среды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</si>
  <si>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</si>
  <si>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</si>
  <si>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</si>
  <si>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</si>
  <si>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</si>
  <si>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</si>
  <si>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</si>
  <si>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другие вопросы в области социальной политики</t>
  </si>
  <si>
    <t>Дотации на выравнивание бюджетной обеспеченности субъектов Российской Федерации и муниципальных образований</t>
  </si>
  <si>
    <t>Прочие расходы</t>
  </si>
  <si>
    <t>Дефицит (минус) профицит (плюс) местного бюджета</t>
  </si>
  <si>
    <t>Внутренний муниципальный долг (на конец периода)</t>
  </si>
  <si>
    <t>9. Денежные доходы и расходы населения</t>
  </si>
  <si>
    <t>Денежные доходы населения</t>
  </si>
  <si>
    <t>доходы от предпринимательской деятельности</t>
  </si>
  <si>
    <t>оплата труда, включая скрытую заработную плату</t>
  </si>
  <si>
    <t>социальные выплаты - всего</t>
  </si>
  <si>
    <t>пенсии</t>
  </si>
  <si>
    <t>пособия и социальная помощь</t>
  </si>
  <si>
    <t>стипендии</t>
  </si>
  <si>
    <t>доходы от собственности</t>
  </si>
  <si>
    <t>другие доходы</t>
  </si>
  <si>
    <t>Денежные доходы в расчете на душу населения в месяц</t>
  </si>
  <si>
    <t>рублей</t>
  </si>
  <si>
    <t>Расходы населения</t>
  </si>
  <si>
    <t xml:space="preserve"> </t>
  </si>
  <si>
    <t>покупка товаров и оплата услуг</t>
  </si>
  <si>
    <t>из них покупка товаров</t>
  </si>
  <si>
    <t>обязательные платежи и разнообразные взносы</t>
  </si>
  <si>
    <t>прочие расходы</t>
  </si>
  <si>
    <t>Превышение доходов над расходами (+), или расходов над доходами (-)</t>
  </si>
  <si>
    <t>Средний размер назначенных месячных пенсий пенсионеров, состоящих на учете в системе Пенсионного фонда РФ</t>
  </si>
  <si>
    <t>руб.</t>
  </si>
  <si>
    <t>10. Труд и занятость</t>
  </si>
  <si>
    <t>Численность трудовых ресурсов</t>
  </si>
  <si>
    <t>Численность занятых в экономике (среднегодовая)</t>
  </si>
  <si>
    <t>Распределение среднегодовой численности занятых в экономике по формам собственности:</t>
  </si>
  <si>
    <t>на предприятиях и в организациях государственной и муниципальной форм собственности</t>
  </si>
  <si>
    <t>в общественных объединениях и организациях</t>
  </si>
  <si>
    <t>на предприятиях и организациях со смешанной формой собственности</t>
  </si>
  <si>
    <t>в предприятиях с иностранным участием</t>
  </si>
  <si>
    <t>в частном секторе</t>
  </si>
  <si>
    <t>в том числе занятые:</t>
  </si>
  <si>
    <t>в крестьянских (фермерских) хозяйствах (включая наемных работников)</t>
  </si>
  <si>
    <t>на частных предприятиях</t>
  </si>
  <si>
    <t>индивидуальным трудом и по найму у отдельных граждан, включая занятых в домашнем хозяйстве производством товаров и услуг для реализации (включая личное подсобное хозяйство)</t>
  </si>
  <si>
    <t>Учащиеся в трудоспособном возрасте, обучающиеся с отрывом от производства</t>
  </si>
  <si>
    <t>Трудоспособные лица в трудоспособном возрасте, не занятые трудовой деятельностью и учебой</t>
  </si>
  <si>
    <t>Уровень безработицы (по методологии МОТ)</t>
  </si>
  <si>
    <t>%</t>
  </si>
  <si>
    <t>Уровень зарегистрированной безработицы</t>
  </si>
  <si>
    <t>Численность безработных (по методологии МОТ)</t>
  </si>
  <si>
    <t>Численность безработных, зарегистрированных в  государственных учреждениях службы занятости населения (на конец года)</t>
  </si>
  <si>
    <t>Среднесписочная численность работников организаций - всего</t>
  </si>
  <si>
    <t>Фонд начисленной заработной платы всех работников</t>
  </si>
  <si>
    <t>Выплаты социального характера - всего</t>
  </si>
  <si>
    <t>11. Развитие социальной сферы</t>
  </si>
  <si>
    <t>Численность детей в дошкольных образовательных учреждениях</t>
  </si>
  <si>
    <t>человек</t>
  </si>
  <si>
    <t>Численность обучающихся в образовательных  учреждениях:</t>
  </si>
  <si>
    <t>государственных и муниципальных (без вечерних (сменных)</t>
  </si>
  <si>
    <t>вечерних (сменных)</t>
  </si>
  <si>
    <t>негосударственных</t>
  </si>
  <si>
    <t>Численность обучающихся в первую смену в государственных и муниципальных общеобразовательных учреждениях (без вечерних (сменных) общеобразовательных учреждений)</t>
  </si>
  <si>
    <t xml:space="preserve"> %</t>
  </si>
  <si>
    <t xml:space="preserve">Ввод в действие жилых домов </t>
  </si>
  <si>
    <t>тыс. кв. м общей площади</t>
  </si>
  <si>
    <t>в том числе за счет:</t>
  </si>
  <si>
    <t>средств федерального бюджета</t>
  </si>
  <si>
    <t>средств бюджетов субъектов Российской Федерации и средств местного бюджета</t>
  </si>
  <si>
    <t>из общего итога - индивидуальные жилые дома, построенные населением за свой счет и с помощью кредитов</t>
  </si>
  <si>
    <t>Общая площадь жилых помещений, приходящаяся в среднем на 1 жителя  (на конец года)</t>
  </si>
  <si>
    <t>кв. м</t>
  </si>
  <si>
    <t>Стоимость предоставляемых населению жилищно-коммунальных услуг, рассчитанная по экономически обоснованным тарифам</t>
  </si>
  <si>
    <t>тыс. руб.</t>
  </si>
  <si>
    <t xml:space="preserve">Фактический уровень платежей населения за жилое помещение  и коммунальные услуги </t>
  </si>
  <si>
    <t>Численность пенсионеров, состоящих на учете в системе Пенсионного фонда РФ</t>
  </si>
  <si>
    <t>тыс. чел.</t>
  </si>
  <si>
    <t>человек на 1 000 человек населения</t>
  </si>
  <si>
    <t>Объем платных услуг населению</t>
  </si>
  <si>
    <t xml:space="preserve"> И.о. Начальника отдела экономики и управления муниципальным имуществом                               М.А. Алиева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</si>
</sst>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0.000"/>
    <numFmt numFmtId="166" formatCode="_-* #,##0.00[$€-1]_-;\-* #,##0.00[$€-1]_-;_-* &quot;-&quot;??[$€-1]_-"/>
    <numFmt numFmtId="167" formatCode="&quot;€&quot;#,##0;[Red]\-&quot;€&quot;#,##0"/>
  </numFmts>
  <fonts count="4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ahoma"/>
      <family val="2"/>
    </font>
    <font>
      <sz val="9"/>
      <name val="Arial Cyr"/>
      <family val="2"/>
      <charset val="204"/>
    </font>
    <font>
      <b/>
      <sz val="8"/>
      <name val="Tahoma"/>
      <family val="2"/>
    </font>
    <font>
      <b/>
      <sz val="12"/>
      <color indexed="8"/>
      <name val="Tahoma"/>
      <family val="2"/>
    </font>
    <font>
      <sz val="11"/>
      <color indexed="8"/>
      <name val="Tahoma"/>
      <family val="2"/>
    </font>
    <font>
      <sz val="8"/>
      <color indexed="8"/>
      <name val="Tahoma"/>
      <family val="2"/>
    </font>
    <font>
      <sz val="10"/>
      <color indexed="8"/>
      <name val="Arial Cyr"/>
      <family val="2"/>
      <charset val="204"/>
    </font>
    <font>
      <sz val="9"/>
      <color indexed="8"/>
      <name val="Arial Cyr"/>
      <family val="2"/>
      <charset val="204"/>
    </font>
    <font>
      <sz val="10"/>
      <color indexed="8"/>
      <name val="Tahoma"/>
      <family val="2"/>
      <charset val="204"/>
    </font>
    <font>
      <sz val="7"/>
      <color indexed="8"/>
      <name val="Tahoma"/>
      <family val="2"/>
    </font>
    <font>
      <i/>
      <sz val="8"/>
      <color indexed="8"/>
      <name val="Tahoma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ahoma"/>
      <family val="2"/>
    </font>
    <font>
      <sz val="8"/>
      <name val="Arial Cyr"/>
      <family val="2"/>
      <charset val="204"/>
    </font>
    <font>
      <sz val="9"/>
      <name val="Arial"/>
      <family val="2"/>
      <charset val="204"/>
    </font>
    <font>
      <sz val="10"/>
      <name val="Arial Cyr"/>
      <family val="2"/>
      <charset val="204"/>
    </font>
    <font>
      <i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indexed="8"/>
      <name val="Tahoma"/>
      <family val="2"/>
      <charset val="204"/>
    </font>
    <font>
      <b/>
      <sz val="8"/>
      <color indexed="8"/>
      <name val="Tahoma"/>
      <family val="2"/>
      <charset val="204"/>
    </font>
    <font>
      <sz val="10"/>
      <color indexed="8"/>
      <name val="Arial Cyr"/>
      <charset val="204"/>
    </font>
    <font>
      <b/>
      <sz val="8"/>
      <color indexed="8"/>
      <name val="Tahoma"/>
      <family val="2"/>
    </font>
    <font>
      <sz val="11"/>
      <name val="Tahoma"/>
      <family val="2"/>
    </font>
    <font>
      <sz val="8"/>
      <name val="Tahoma"/>
      <family val="2"/>
    </font>
    <font>
      <sz val="7"/>
      <name val="HelveticaCyr-Upright"/>
    </font>
    <font>
      <sz val="8"/>
      <name val="Arial"/>
      <family val="2"/>
      <charset val="204"/>
    </font>
    <font>
      <b/>
      <sz val="11"/>
      <color indexed="8"/>
      <name val="Tahoma"/>
      <family val="2"/>
      <charset val="204"/>
    </font>
    <font>
      <sz val="11"/>
      <color indexed="8"/>
      <name val="Courier New"/>
      <family val="3"/>
      <charset val="204"/>
    </font>
    <font>
      <sz val="7.5"/>
      <color indexed="8"/>
      <name val="Tahoma"/>
      <family val="2"/>
    </font>
    <font>
      <sz val="8"/>
      <color indexed="8"/>
      <name val="Arial Cyr"/>
      <family val="2"/>
      <charset val="204"/>
    </font>
    <font>
      <sz val="8"/>
      <name val="Verdana"/>
      <family val="2"/>
      <charset val="204"/>
    </font>
    <font>
      <i/>
      <sz val="10"/>
      <color indexed="8"/>
      <name val="Tahoma"/>
      <family val="2"/>
      <charset val="204"/>
    </font>
    <font>
      <sz val="14"/>
      <color indexed="1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18"/>
      <name val="Courier New"/>
      <family val="3"/>
      <charset val="204"/>
    </font>
    <font>
      <sz val="10"/>
      <color indexed="9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5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12">
    <xf numFmtId="0" fontId="0" fillId="0" borderId="0"/>
    <xf numFmtId="0" fontId="1" fillId="0" borderId="0"/>
    <xf numFmtId="166" fontId="40" fillId="0" borderId="0" applyFont="0" applyFill="0" applyBorder="0" applyAlignment="0" applyProtection="0"/>
    <xf numFmtId="0" fontId="40" fillId="0" borderId="0"/>
    <xf numFmtId="0" fontId="41" fillId="0" borderId="0"/>
    <xf numFmtId="0" fontId="4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40" fillId="0" borderId="0" applyFont="0" applyFill="0" applyBorder="0" applyAlignment="0" applyProtection="0"/>
    <xf numFmtId="43" fontId="41" fillId="0" borderId="0" applyFont="0" applyFill="0" applyBorder="0" applyAlignment="0" applyProtection="0"/>
  </cellStyleXfs>
  <cellXfs count="119">
    <xf numFmtId="0" fontId="0" fillId="0" borderId="0" xfId="0"/>
    <xf numFmtId="49" fontId="2" fillId="0" borderId="0" xfId="1" applyNumberFormat="1" applyFont="1" applyFill="1" applyAlignment="1" applyProtection="1">
      <alignment horizontal="center" vertical="center" wrapText="1"/>
    </xf>
    <xf numFmtId="0" fontId="3" fillId="0" borderId="0" xfId="1" applyFont="1" applyFill="1" applyProtection="1"/>
    <xf numFmtId="0" fontId="4" fillId="0" borderId="1" xfId="1" applyFont="1" applyFill="1" applyBorder="1" applyAlignment="1" applyProtection="1">
      <alignment horizontal="center" vertical="center"/>
    </xf>
    <xf numFmtId="0" fontId="4" fillId="0" borderId="1" xfId="1" applyFont="1" applyFill="1" applyBorder="1" applyAlignment="1" applyProtection="1">
      <alignment horizontal="center" vertical="center" wrapText="1"/>
    </xf>
    <xf numFmtId="49" fontId="4" fillId="0" borderId="2" xfId="1" applyNumberFormat="1" applyFont="1" applyFill="1" applyBorder="1" applyAlignment="1" applyProtection="1">
      <alignment horizontal="centerContinuous" vertical="center"/>
    </xf>
    <xf numFmtId="49" fontId="4" fillId="0" borderId="2" xfId="1" applyNumberFormat="1" applyFont="1" applyFill="1" applyBorder="1" applyAlignment="1" applyProtection="1">
      <alignment horizontal="centerContinuous" vertical="center" wrapText="1"/>
    </xf>
    <xf numFmtId="49" fontId="4" fillId="0" borderId="2" xfId="1" applyNumberFormat="1" applyFont="1" applyFill="1" applyBorder="1" applyAlignment="1" applyProtection="1">
      <alignment horizontal="center" vertical="center" wrapText="1"/>
    </xf>
    <xf numFmtId="0" fontId="4" fillId="0" borderId="2" xfId="1" applyFont="1" applyBorder="1" applyAlignment="1" applyProtection="1">
      <alignment horizontal="centerContinuous" vertical="center" wrapText="1"/>
    </xf>
    <xf numFmtId="0" fontId="4" fillId="0" borderId="2" xfId="1" applyFont="1" applyBorder="1" applyAlignment="1" applyProtection="1">
      <alignment horizontal="center" vertical="center" wrapText="1"/>
    </xf>
    <xf numFmtId="0" fontId="4" fillId="0" borderId="3" xfId="1" applyFont="1" applyBorder="1" applyAlignment="1" applyProtection="1">
      <alignment horizontal="center" vertical="center" wrapText="1"/>
    </xf>
    <xf numFmtId="0" fontId="4" fillId="0" borderId="4" xfId="1" applyFont="1" applyBorder="1" applyAlignment="1" applyProtection="1">
      <alignment horizontal="center" vertical="center" wrapText="1"/>
    </xf>
    <xf numFmtId="0" fontId="4" fillId="0" borderId="5" xfId="1" applyFont="1" applyBorder="1" applyAlignment="1" applyProtection="1">
      <alignment horizontal="center" vertical="center" wrapText="1"/>
    </xf>
    <xf numFmtId="0" fontId="4" fillId="0" borderId="6" xfId="1" applyFont="1" applyFill="1" applyBorder="1" applyAlignment="1" applyProtection="1">
      <alignment horizontal="center" vertical="center"/>
    </xf>
    <xf numFmtId="0" fontId="4" fillId="0" borderId="6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Continuous" vertical="center"/>
    </xf>
    <xf numFmtId="0" fontId="4" fillId="0" borderId="2" xfId="1" applyFont="1" applyFill="1" applyBorder="1" applyAlignment="1" applyProtection="1">
      <alignment horizontal="centerContinuous"/>
    </xf>
    <xf numFmtId="0" fontId="4" fillId="0" borderId="2" xfId="1" applyFont="1" applyFill="1" applyBorder="1" applyAlignment="1" applyProtection="1">
      <alignment horizontal="right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7" xfId="1" applyFont="1" applyFill="1" applyBorder="1" applyAlignment="1" applyProtection="1">
      <alignment horizontal="center" vertical="center"/>
    </xf>
    <xf numFmtId="0" fontId="4" fillId="0" borderId="7" xfId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left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2" fontId="7" fillId="0" borderId="2" xfId="1" applyNumberFormat="1" applyFont="1" applyFill="1" applyBorder="1" applyAlignment="1" applyProtection="1">
      <alignment horizontal="center" vertical="center"/>
      <protection locked="0"/>
    </xf>
    <xf numFmtId="2" fontId="7" fillId="0" borderId="2" xfId="1" applyNumberFormat="1" applyFont="1" applyFill="1" applyBorder="1" applyAlignment="1" applyProtection="1">
      <alignment horizontal="center" vertical="top" wrapText="1"/>
      <protection locked="0"/>
    </xf>
    <xf numFmtId="0" fontId="3" fillId="0" borderId="2" xfId="1" applyFont="1" applyFill="1" applyBorder="1" applyProtection="1"/>
    <xf numFmtId="2" fontId="8" fillId="0" borderId="2" xfId="1" applyNumberFormat="1" applyFont="1" applyFill="1" applyBorder="1" applyAlignment="1" applyProtection="1">
      <alignment horizontal="right"/>
      <protection locked="0"/>
    </xf>
    <xf numFmtId="0" fontId="7" fillId="3" borderId="2" xfId="1" applyFont="1" applyFill="1" applyBorder="1" applyAlignment="1" applyProtection="1">
      <alignment horizontal="left" vertical="center" wrapText="1" indent="1"/>
    </xf>
    <xf numFmtId="0" fontId="7" fillId="3" borderId="2" xfId="1" applyFont="1" applyFill="1" applyBorder="1" applyAlignment="1" applyProtection="1">
      <alignment horizontal="center" vertical="center" wrapText="1"/>
    </xf>
    <xf numFmtId="2" fontId="9" fillId="3" borderId="2" xfId="1" applyNumberFormat="1" applyFont="1" applyFill="1" applyBorder="1" applyAlignment="1" applyProtection="1">
      <alignment horizontal="right" vertical="center"/>
    </xf>
    <xf numFmtId="2" fontId="7" fillId="3" borderId="2" xfId="1" applyNumberFormat="1" applyFont="1" applyFill="1" applyBorder="1" applyAlignment="1" applyProtection="1">
      <alignment horizontal="center" vertical="top" wrapText="1"/>
      <protection locked="0"/>
    </xf>
    <xf numFmtId="2" fontId="8" fillId="3" borderId="2" xfId="1" applyNumberFormat="1" applyFont="1" applyFill="1" applyBorder="1" applyAlignment="1" applyProtection="1">
      <alignment horizontal="right"/>
      <protection locked="0"/>
    </xf>
    <xf numFmtId="2" fontId="10" fillId="3" borderId="2" xfId="1" applyNumberFormat="1" applyFont="1" applyFill="1" applyBorder="1" applyAlignment="1" applyProtection="1">
      <alignment horizontal="right"/>
      <protection locked="0"/>
    </xf>
    <xf numFmtId="0" fontId="11" fillId="3" borderId="2" xfId="1" applyFont="1" applyFill="1" applyBorder="1" applyAlignment="1" applyProtection="1">
      <alignment horizontal="center" vertical="center" wrapText="1"/>
    </xf>
    <xf numFmtId="2" fontId="12" fillId="3" borderId="2" xfId="1" applyNumberFormat="1" applyFont="1" applyFill="1" applyBorder="1" applyAlignment="1" applyProtection="1">
      <alignment horizontal="right"/>
      <protection locked="0"/>
    </xf>
    <xf numFmtId="0" fontId="5" fillId="3" borderId="2" xfId="1" applyFont="1" applyFill="1" applyBorder="1" applyAlignment="1" applyProtection="1">
      <alignment horizontal="left" vertical="center" wrapText="1"/>
    </xf>
    <xf numFmtId="0" fontId="13" fillId="3" borderId="2" xfId="1" applyFont="1" applyFill="1" applyBorder="1"/>
    <xf numFmtId="0" fontId="14" fillId="3" borderId="2" xfId="1" applyFont="1" applyFill="1" applyBorder="1" applyAlignment="1" applyProtection="1">
      <alignment horizontal="left" vertical="center" wrapText="1"/>
    </xf>
    <xf numFmtId="0" fontId="3" fillId="3" borderId="0" xfId="1" applyFont="1" applyFill="1" applyProtection="1"/>
    <xf numFmtId="0" fontId="15" fillId="3" borderId="3" xfId="1" applyFont="1" applyFill="1" applyBorder="1" applyProtection="1"/>
    <xf numFmtId="0" fontId="3" fillId="3" borderId="4" xfId="1" applyFont="1" applyFill="1" applyBorder="1" applyProtection="1"/>
    <xf numFmtId="0" fontId="3" fillId="3" borderId="5" xfId="1" applyFont="1" applyFill="1" applyBorder="1" applyProtection="1"/>
    <xf numFmtId="0" fontId="16" fillId="3" borderId="2" xfId="1" applyFont="1" applyFill="1" applyBorder="1" applyAlignment="1" applyProtection="1">
      <alignment horizontal="left" vertical="center" wrapText="1"/>
    </xf>
    <xf numFmtId="0" fontId="14" fillId="3" borderId="2" xfId="1" applyFont="1" applyFill="1" applyBorder="1" applyAlignment="1" applyProtection="1">
      <alignment horizontal="left" vertical="center" wrapText="1" indent="1"/>
    </xf>
    <xf numFmtId="0" fontId="7" fillId="3" borderId="2" xfId="1" applyFont="1" applyFill="1" applyBorder="1" applyAlignment="1">
      <alignment horizontal="center" vertical="top" wrapText="1"/>
    </xf>
    <xf numFmtId="2" fontId="3" fillId="3" borderId="2" xfId="1" applyNumberFormat="1" applyFont="1" applyFill="1" applyBorder="1" applyProtection="1"/>
    <xf numFmtId="0" fontId="14" fillId="3" borderId="2" xfId="1" applyFont="1" applyFill="1" applyBorder="1" applyAlignment="1" applyProtection="1">
      <alignment horizontal="left" vertical="center" wrapText="1" indent="2"/>
    </xf>
    <xf numFmtId="0" fontId="6" fillId="3" borderId="2" xfId="1" applyFont="1" applyFill="1" applyBorder="1" applyAlignment="1" applyProtection="1">
      <alignment horizontal="center" vertical="center" wrapText="1"/>
    </xf>
    <xf numFmtId="2" fontId="17" fillId="3" borderId="2" xfId="1" applyNumberFormat="1" applyFont="1" applyFill="1" applyBorder="1" applyAlignment="1" applyProtection="1">
      <alignment horizontal="right"/>
      <protection locked="0"/>
    </xf>
    <xf numFmtId="0" fontId="7" fillId="3" borderId="2" xfId="1" applyFont="1" applyFill="1" applyBorder="1" applyAlignment="1" applyProtection="1">
      <alignment horizontal="left" vertical="center" wrapText="1" indent="2"/>
    </xf>
    <xf numFmtId="164" fontId="3" fillId="0" borderId="0" xfId="1" applyNumberFormat="1" applyFont="1" applyFill="1" applyProtection="1"/>
    <xf numFmtId="2" fontId="12" fillId="3" borderId="2" xfId="1" applyNumberFormat="1" applyFont="1" applyFill="1" applyBorder="1" applyAlignment="1" applyProtection="1">
      <protection locked="0"/>
    </xf>
    <xf numFmtId="0" fontId="18" fillId="3" borderId="8" xfId="1" applyFont="1" applyFill="1" applyBorder="1" applyAlignment="1">
      <alignment vertical="top"/>
    </xf>
    <xf numFmtId="0" fontId="19" fillId="3" borderId="2" xfId="1" applyFont="1" applyFill="1" applyBorder="1" applyAlignment="1">
      <alignment horizontal="center" vertical="top"/>
    </xf>
    <xf numFmtId="3" fontId="20" fillId="4" borderId="9" xfId="1" applyNumberFormat="1" applyFont="1" applyFill="1" applyBorder="1" applyAlignment="1">
      <alignment horizontal="right" wrapText="1"/>
    </xf>
    <xf numFmtId="0" fontId="21" fillId="3" borderId="2" xfId="1" applyFont="1" applyFill="1" applyBorder="1" applyAlignment="1" applyProtection="1">
      <alignment horizontal="left" vertical="center" wrapText="1" indent="3"/>
    </xf>
    <xf numFmtId="2" fontId="10" fillId="3" borderId="7" xfId="1" applyNumberFormat="1" applyFont="1" applyFill="1" applyBorder="1" applyAlignment="1" applyProtection="1">
      <alignment horizontal="right"/>
      <protection locked="0"/>
    </xf>
    <xf numFmtId="0" fontId="3" fillId="3" borderId="2" xfId="1" applyFont="1" applyFill="1" applyBorder="1" applyProtection="1"/>
    <xf numFmtId="0" fontId="22" fillId="3" borderId="2" xfId="1" applyFont="1" applyFill="1" applyBorder="1" applyAlignment="1" applyProtection="1">
      <alignment horizontal="left" wrapText="1" indent="1"/>
    </xf>
    <xf numFmtId="0" fontId="21" fillId="3" borderId="2" xfId="1" applyFont="1" applyFill="1" applyBorder="1" applyAlignment="1" applyProtection="1">
      <alignment horizontal="center"/>
    </xf>
    <xf numFmtId="0" fontId="23" fillId="3" borderId="2" xfId="1" applyFont="1" applyFill="1" applyBorder="1" applyProtection="1"/>
    <xf numFmtId="0" fontId="24" fillId="3" borderId="2" xfId="1" applyFont="1" applyFill="1" applyBorder="1" applyAlignment="1" applyProtection="1">
      <alignment horizontal="left" vertical="center" wrapText="1" indent="1"/>
    </xf>
    <xf numFmtId="0" fontId="2" fillId="3" borderId="2" xfId="1" applyFont="1" applyFill="1" applyBorder="1" applyAlignment="1" applyProtection="1">
      <alignment horizontal="left" vertical="center" wrapText="1"/>
    </xf>
    <xf numFmtId="0" fontId="25" fillId="3" borderId="2" xfId="1" applyFont="1" applyFill="1" applyBorder="1" applyAlignment="1" applyProtection="1">
      <alignment horizontal="center" vertical="center" wrapText="1"/>
    </xf>
    <xf numFmtId="2" fontId="9" fillId="3" borderId="2" xfId="1" applyNumberFormat="1" applyFont="1" applyFill="1" applyBorder="1" applyAlignment="1" applyProtection="1">
      <alignment horizontal="right" vertical="center"/>
      <protection locked="0"/>
    </xf>
    <xf numFmtId="0" fontId="7" fillId="3" borderId="2" xfId="1" applyFont="1" applyFill="1" applyBorder="1" applyAlignment="1" applyProtection="1">
      <alignment horizontal="center" vertical="top" wrapText="1"/>
      <protection locked="0"/>
    </xf>
    <xf numFmtId="0" fontId="4" fillId="3" borderId="2" xfId="1" applyFont="1" applyFill="1" applyBorder="1" applyAlignment="1" applyProtection="1">
      <alignment horizontal="left" vertical="center" wrapText="1" indent="1"/>
    </xf>
    <xf numFmtId="0" fontId="26" fillId="3" borderId="2" xfId="1" applyFont="1" applyFill="1" applyBorder="1" applyAlignment="1" applyProtection="1">
      <alignment horizontal="center" vertical="center" wrapText="1"/>
    </xf>
    <xf numFmtId="0" fontId="26" fillId="3" borderId="2" xfId="1" applyFont="1" applyFill="1" applyBorder="1" applyAlignment="1" applyProtection="1">
      <alignment horizontal="left" vertical="center" wrapText="1" indent="1"/>
    </xf>
    <xf numFmtId="0" fontId="26" fillId="3" borderId="2" xfId="1" applyFont="1" applyFill="1" applyBorder="1" applyAlignment="1" applyProtection="1">
      <alignment horizontal="left" vertical="center" wrapText="1" indent="2"/>
    </xf>
    <xf numFmtId="0" fontId="27" fillId="0" borderId="0" xfId="1" applyFont="1" applyAlignment="1">
      <alignment horizontal="justify"/>
    </xf>
    <xf numFmtId="1" fontId="8" fillId="3" borderId="2" xfId="1" applyNumberFormat="1" applyFont="1" applyFill="1" applyBorder="1" applyAlignment="1" applyProtection="1">
      <alignment horizontal="right"/>
      <protection locked="0"/>
    </xf>
    <xf numFmtId="0" fontId="26" fillId="3" borderId="2" xfId="1" applyFont="1" applyFill="1" applyBorder="1" applyAlignment="1" applyProtection="1">
      <alignment horizontal="left" vertical="center" wrapText="1" indent="3"/>
    </xf>
    <xf numFmtId="0" fontId="7" fillId="3" borderId="2" xfId="1" applyFont="1" applyFill="1" applyBorder="1" applyAlignment="1" applyProtection="1">
      <alignment horizontal="left" vertical="top" wrapText="1" indent="1"/>
    </xf>
    <xf numFmtId="0" fontId="7" fillId="3" borderId="2" xfId="1" applyFont="1" applyFill="1" applyBorder="1" applyAlignment="1" applyProtection="1">
      <alignment horizontal="center" vertical="top" wrapText="1"/>
    </xf>
    <xf numFmtId="0" fontId="7" fillId="3" borderId="2" xfId="1" applyFont="1" applyFill="1" applyBorder="1" applyAlignment="1" applyProtection="1">
      <alignment horizontal="left" vertical="center" wrapText="1" indent="3"/>
    </xf>
    <xf numFmtId="2" fontId="3" fillId="0" borderId="0" xfId="1" applyNumberFormat="1" applyFont="1" applyFill="1" applyProtection="1"/>
    <xf numFmtId="0" fontId="7" fillId="3" borderId="2" xfId="1" applyFont="1" applyFill="1" applyBorder="1" applyAlignment="1" applyProtection="1">
      <alignment horizontal="left" vertical="center" wrapText="1" indent="4"/>
    </xf>
    <xf numFmtId="0" fontId="7" fillId="3" borderId="2" xfId="1" applyFont="1" applyFill="1" applyBorder="1" applyAlignment="1" applyProtection="1">
      <alignment horizontal="left" vertical="center" wrapText="1" indent="5"/>
    </xf>
    <xf numFmtId="0" fontId="28" fillId="3" borderId="10" xfId="1" applyFont="1" applyFill="1" applyBorder="1" applyAlignment="1">
      <alignment horizontal="center" vertical="center" wrapText="1"/>
    </xf>
    <xf numFmtId="0" fontId="29" fillId="3" borderId="2" xfId="1" applyFont="1" applyFill="1" applyBorder="1" applyAlignment="1" applyProtection="1">
      <alignment horizontal="left" vertical="center" wrapText="1" indent="1"/>
    </xf>
    <xf numFmtId="0" fontId="22" fillId="3" borderId="2" xfId="1" applyFont="1" applyFill="1" applyBorder="1" applyAlignment="1" applyProtection="1">
      <alignment horizontal="left" vertical="center" wrapText="1" indent="1"/>
    </xf>
    <xf numFmtId="164" fontId="10" fillId="3" borderId="2" xfId="1" applyNumberFormat="1" applyFont="1" applyFill="1" applyBorder="1" applyAlignment="1" applyProtection="1">
      <alignment horizontal="right"/>
      <protection locked="0"/>
    </xf>
    <xf numFmtId="164" fontId="3" fillId="3" borderId="2" xfId="1" applyNumberFormat="1" applyFont="1" applyFill="1" applyBorder="1" applyProtection="1"/>
    <xf numFmtId="0" fontId="23" fillId="3" borderId="2" xfId="1" applyFont="1" applyFill="1" applyBorder="1"/>
    <xf numFmtId="0" fontId="1" fillId="5" borderId="0" xfId="1" applyFill="1"/>
    <xf numFmtId="0" fontId="30" fillId="5" borderId="0" xfId="1" applyFont="1" applyFill="1"/>
    <xf numFmtId="0" fontId="30" fillId="0" borderId="0" xfId="1" applyFont="1"/>
    <xf numFmtId="0" fontId="21" fillId="3" borderId="2" xfId="1" applyFont="1" applyFill="1" applyBorder="1" applyAlignment="1" applyProtection="1">
      <alignment horizontal="left" vertical="center" wrapText="1" indent="1"/>
    </xf>
    <xf numFmtId="0" fontId="31" fillId="3" borderId="2" xfId="1" applyFont="1" applyFill="1" applyBorder="1" applyAlignment="1" applyProtection="1">
      <alignment horizontal="center" vertical="center" wrapText="1"/>
    </xf>
    <xf numFmtId="2" fontId="8" fillId="3" borderId="2" xfId="1" applyNumberFormat="1" applyFont="1" applyFill="1" applyBorder="1" applyAlignment="1" applyProtection="1">
      <alignment horizontal="center"/>
      <protection locked="0"/>
    </xf>
    <xf numFmtId="2" fontId="32" fillId="0" borderId="0" xfId="1" applyNumberFormat="1" applyFont="1" applyFill="1" applyBorder="1" applyAlignment="1" applyProtection="1">
      <alignment horizontal="right"/>
      <protection locked="0"/>
    </xf>
    <xf numFmtId="0" fontId="22" fillId="3" borderId="2" xfId="1" applyFont="1" applyFill="1" applyBorder="1" applyAlignment="1" applyProtection="1">
      <alignment horizontal="left" vertical="center" wrapText="1" indent="2"/>
    </xf>
    <xf numFmtId="164" fontId="8" fillId="3" borderId="2" xfId="1" applyNumberFormat="1" applyFont="1" applyFill="1" applyBorder="1" applyAlignment="1" applyProtection="1">
      <alignment horizontal="right"/>
      <protection locked="0"/>
    </xf>
    <xf numFmtId="1" fontId="3" fillId="3" borderId="2" xfId="1" applyNumberFormat="1" applyFont="1" applyFill="1" applyBorder="1" applyProtection="1"/>
    <xf numFmtId="0" fontId="33" fillId="3" borderId="2" xfId="1" applyFont="1" applyFill="1" applyBorder="1" applyAlignment="1">
      <alignment horizontal="left" vertical="center" wrapText="1"/>
    </xf>
    <xf numFmtId="0" fontId="33" fillId="3" borderId="2" xfId="1" applyFont="1" applyFill="1" applyBorder="1" applyAlignment="1">
      <alignment horizontal="center" vertical="center" wrapText="1"/>
    </xf>
    <xf numFmtId="49" fontId="9" fillId="3" borderId="0" xfId="1" applyNumberFormat="1" applyFont="1" applyFill="1" applyAlignment="1" applyProtection="1">
      <alignment horizontal="center" vertical="center"/>
    </xf>
    <xf numFmtId="49" fontId="9" fillId="3" borderId="0" xfId="1" applyNumberFormat="1" applyFont="1" applyFill="1" applyAlignment="1" applyProtection="1">
      <alignment horizontal="center"/>
    </xf>
    <xf numFmtId="49" fontId="9" fillId="3" borderId="0" xfId="1" applyNumberFormat="1" applyFont="1" applyFill="1" applyAlignment="1" applyProtection="1">
      <alignment horizontal="right"/>
    </xf>
    <xf numFmtId="165" fontId="9" fillId="3" borderId="0" xfId="1" applyNumberFormat="1" applyFont="1" applyFill="1" applyProtection="1"/>
    <xf numFmtId="1" fontId="10" fillId="3" borderId="2" xfId="1" applyNumberFormat="1" applyFont="1" applyFill="1" applyBorder="1" applyAlignment="1" applyProtection="1">
      <alignment horizontal="right"/>
      <protection locked="0"/>
    </xf>
    <xf numFmtId="2" fontId="34" fillId="3" borderId="2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Alignment="1">
      <alignment horizontal="justify"/>
    </xf>
    <xf numFmtId="0" fontId="9" fillId="0" borderId="0" xfId="1" applyFont="1" applyFill="1" applyProtection="1"/>
    <xf numFmtId="49" fontId="9" fillId="0" borderId="0" xfId="1" applyNumberFormat="1" applyFont="1" applyFill="1" applyAlignment="1" applyProtection="1">
      <alignment horizontal="center" vertical="center"/>
    </xf>
    <xf numFmtId="49" fontId="9" fillId="0" borderId="0" xfId="1" applyNumberFormat="1" applyFont="1" applyFill="1" applyAlignment="1" applyProtection="1">
      <alignment horizontal="center"/>
    </xf>
    <xf numFmtId="49" fontId="9" fillId="0" borderId="0" xfId="1" applyNumberFormat="1" applyFont="1" applyFill="1" applyAlignment="1" applyProtection="1">
      <alignment horizontal="right"/>
    </xf>
    <xf numFmtId="165" fontId="9" fillId="0" borderId="0" xfId="1" applyNumberFormat="1" applyFont="1" applyFill="1" applyProtection="1"/>
    <xf numFmtId="0" fontId="36" fillId="0" borderId="0" xfId="1" applyFont="1" applyAlignment="1">
      <alignment horizontal="justify"/>
    </xf>
    <xf numFmtId="0" fontId="37" fillId="0" borderId="0" xfId="1" applyFont="1" applyAlignment="1">
      <alignment horizontal="justify"/>
    </xf>
    <xf numFmtId="0" fontId="38" fillId="0" borderId="0" xfId="1" applyFont="1"/>
    <xf numFmtId="2" fontId="39" fillId="0" borderId="11" xfId="1" applyNumberFormat="1" applyFont="1" applyFill="1" applyBorder="1" applyAlignment="1" applyProtection="1">
      <alignment horizontal="right"/>
      <protection locked="0"/>
    </xf>
    <xf numFmtId="2" fontId="39" fillId="0" borderId="12" xfId="1" applyNumberFormat="1" applyFont="1" applyFill="1" applyBorder="1" applyAlignment="1" applyProtection="1">
      <alignment horizontal="right"/>
      <protection locked="0"/>
    </xf>
    <xf numFmtId="2" fontId="39" fillId="0" borderId="0" xfId="1" applyNumberFormat="1" applyFont="1" applyFill="1" applyBorder="1" applyAlignment="1" applyProtection="1">
      <alignment horizontal="right"/>
      <protection locked="0"/>
    </xf>
    <xf numFmtId="2" fontId="39" fillId="0" borderId="13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Fill="1" applyAlignment="1" applyProtection="1">
      <alignment horizontal="center" vertical="center"/>
    </xf>
    <xf numFmtId="49" fontId="3" fillId="0" borderId="0" xfId="1" applyNumberFormat="1" applyFont="1" applyFill="1" applyAlignment="1" applyProtection="1">
      <alignment horizontal="center"/>
    </xf>
    <xf numFmtId="49" fontId="3" fillId="0" borderId="0" xfId="1" applyNumberFormat="1" applyFont="1" applyFill="1" applyAlignment="1" applyProtection="1">
      <alignment horizontal="right"/>
    </xf>
  </cellXfs>
  <cellStyles count="12">
    <cellStyle name="Euro" xfId="2"/>
    <cellStyle name="Обычный" xfId="0" builtinId="0"/>
    <cellStyle name="Обычный 2" xfId="1"/>
    <cellStyle name="Обычный 2 2" xfId="3"/>
    <cellStyle name="Обычный 3" xfId="4"/>
    <cellStyle name="Обычный 3 2" xfId="5"/>
    <cellStyle name="Обычный 4" xfId="6"/>
    <cellStyle name="Обычный 5" xfId="7"/>
    <cellStyle name="Процентный 2" xfId="8"/>
    <cellStyle name="Финансовый 2" xfId="9"/>
    <cellStyle name="Финансовый 3" xfId="10"/>
    <cellStyle name="Финансовый 4" xfId="11"/>
  </cellStyles>
  <dxfs count="6">
    <dxf>
      <font>
        <color theme="8" tint="-0.499984740745262"/>
      </font>
    </dxf>
    <dxf>
      <font>
        <color theme="8" tint="-0.499984740745262"/>
      </font>
    </dxf>
    <dxf>
      <font>
        <color theme="8" tint="-0.499984740745262"/>
      </font>
    </dxf>
    <dxf>
      <font>
        <color theme="8" tint="-0.499984740745262"/>
      </font>
    </dxf>
    <dxf>
      <font>
        <color rgb="FFFF0000"/>
      </font>
    </dxf>
    <dxf>
      <font>
        <color theme="8" tint="-0.49998474074526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&#1069;&#1082;&#1086;&#1085;&#1086;&#1084;&#1080;&#1095;&#1077;&#1089;&#1082;&#1080;&#1077;%20&#1087;&#1086;&#1082;&#1072;&#1079;&#1072;&#1090;&#1077;&#1083;&#1080;\&#1055;&#1088;&#1086;&#1075;&#1085;&#1086;&#1079;&#1099;%20&#1057;&#1069;&#1056;\Users\892340402\Desktop\&#1045;&#1078;&#1077;&#1084;&#1077;&#1089;.%20&#1087;&#1086;&#1082;&#1072;&#1079;&#1072;&#1090;&#1077;&#1083;&#1080;888\&#1045;&#1078;&#1077;&#1084;.%20&#1087;&#1086;&#1082;&#1072;&#1079;&#1072;&#1090;&#1077;&#1083;&#1080;%202014&#1075;&#1086;&#1076;\&#1045;&#1078;&#1077;&#1084;&#1077;&#1089;&#1103;&#1095;&#1085;&#1099;&#1077;%20%20&#1087;&#1086;&#1082;&#1072;&#1079;&#1072;&#1090;&#1077;&#1083;&#1080;%20%20&#1079;&#1072;%202014&#1075;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рав. анализ показ 2013"/>
      <sheetName val="НДФЛ"/>
      <sheetName val="2013"/>
      <sheetName val="сравн. анал 9 мес."/>
      <sheetName val="2014"/>
      <sheetName val="4.Пром-2014"/>
      <sheetName val="уров.соб2013."/>
      <sheetName val="строит"/>
      <sheetName val="Объем инвестиций"/>
      <sheetName val="переч. неплат"/>
      <sheetName val="Перечень пок.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6">
          <cell r="C6">
            <v>509000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86"/>
  <sheetViews>
    <sheetView tabSelected="1" view="pageBreakPreview" zoomScale="85" zoomScaleNormal="85" zoomScaleSheetLayoutView="85" workbookViewId="0">
      <pane ySplit="6" topLeftCell="A16" activePane="bottomLeft" state="frozen"/>
      <selection pane="bottomLeft" activeCell="K37" sqref="K37"/>
    </sheetView>
  </sheetViews>
  <sheetFormatPr defaultColWidth="8.85546875" defaultRowHeight="12"/>
  <cols>
    <col min="1" max="1" width="50.28515625" style="2" customWidth="1"/>
    <col min="2" max="2" width="12.5703125" style="2" customWidth="1"/>
    <col min="3" max="3" width="9.42578125" style="116" hidden="1" customWidth="1"/>
    <col min="4" max="4" width="5.140625" style="117" hidden="1" customWidth="1"/>
    <col min="5" max="5" width="6.28515625" style="118" hidden="1" customWidth="1"/>
    <col min="6" max="6" width="8.42578125" style="116" hidden="1" customWidth="1"/>
    <col min="7" max="7" width="10.85546875" style="2" hidden="1" customWidth="1"/>
    <col min="8" max="9" width="9.7109375" style="2" customWidth="1"/>
    <col min="10" max="11" width="10.7109375" style="2" customWidth="1"/>
    <col min="12" max="13" width="10.42578125" style="2" customWidth="1"/>
    <col min="14" max="14" width="7.140625" style="2" customWidth="1"/>
    <col min="15" max="15" width="12.28515625" style="2" customWidth="1"/>
    <col min="16" max="17" width="7.140625" style="2" customWidth="1"/>
    <col min="18" max="256" width="8.85546875" style="2"/>
    <col min="257" max="257" width="50.28515625" style="2" customWidth="1"/>
    <col min="258" max="258" width="12.5703125" style="2" customWidth="1"/>
    <col min="259" max="263" width="0" style="2" hidden="1" customWidth="1"/>
    <col min="264" max="265" width="9.7109375" style="2" customWidth="1"/>
    <col min="266" max="267" width="10.7109375" style="2" customWidth="1"/>
    <col min="268" max="269" width="10.42578125" style="2" customWidth="1"/>
    <col min="270" max="270" width="7.140625" style="2" customWidth="1"/>
    <col min="271" max="271" width="12.28515625" style="2" customWidth="1"/>
    <col min="272" max="273" width="7.140625" style="2" customWidth="1"/>
    <col min="274" max="512" width="8.85546875" style="2"/>
    <col min="513" max="513" width="50.28515625" style="2" customWidth="1"/>
    <col min="514" max="514" width="12.5703125" style="2" customWidth="1"/>
    <col min="515" max="519" width="0" style="2" hidden="1" customWidth="1"/>
    <col min="520" max="521" width="9.7109375" style="2" customWidth="1"/>
    <col min="522" max="523" width="10.7109375" style="2" customWidth="1"/>
    <col min="524" max="525" width="10.42578125" style="2" customWidth="1"/>
    <col min="526" max="526" width="7.140625" style="2" customWidth="1"/>
    <col min="527" max="527" width="12.28515625" style="2" customWidth="1"/>
    <col min="528" max="529" width="7.140625" style="2" customWidth="1"/>
    <col min="530" max="768" width="8.85546875" style="2"/>
    <col min="769" max="769" width="50.28515625" style="2" customWidth="1"/>
    <col min="770" max="770" width="12.5703125" style="2" customWidth="1"/>
    <col min="771" max="775" width="0" style="2" hidden="1" customWidth="1"/>
    <col min="776" max="777" width="9.7109375" style="2" customWidth="1"/>
    <col min="778" max="779" width="10.7109375" style="2" customWidth="1"/>
    <col min="780" max="781" width="10.42578125" style="2" customWidth="1"/>
    <col min="782" max="782" width="7.140625" style="2" customWidth="1"/>
    <col min="783" max="783" width="12.28515625" style="2" customWidth="1"/>
    <col min="784" max="785" width="7.140625" style="2" customWidth="1"/>
    <col min="786" max="1024" width="8.85546875" style="2"/>
    <col min="1025" max="1025" width="50.28515625" style="2" customWidth="1"/>
    <col min="1026" max="1026" width="12.5703125" style="2" customWidth="1"/>
    <col min="1027" max="1031" width="0" style="2" hidden="1" customWidth="1"/>
    <col min="1032" max="1033" width="9.7109375" style="2" customWidth="1"/>
    <col min="1034" max="1035" width="10.7109375" style="2" customWidth="1"/>
    <col min="1036" max="1037" width="10.42578125" style="2" customWidth="1"/>
    <col min="1038" max="1038" width="7.140625" style="2" customWidth="1"/>
    <col min="1039" max="1039" width="12.28515625" style="2" customWidth="1"/>
    <col min="1040" max="1041" width="7.140625" style="2" customWidth="1"/>
    <col min="1042" max="1280" width="8.85546875" style="2"/>
    <col min="1281" max="1281" width="50.28515625" style="2" customWidth="1"/>
    <col min="1282" max="1282" width="12.5703125" style="2" customWidth="1"/>
    <col min="1283" max="1287" width="0" style="2" hidden="1" customWidth="1"/>
    <col min="1288" max="1289" width="9.7109375" style="2" customWidth="1"/>
    <col min="1290" max="1291" width="10.7109375" style="2" customWidth="1"/>
    <col min="1292" max="1293" width="10.42578125" style="2" customWidth="1"/>
    <col min="1294" max="1294" width="7.140625" style="2" customWidth="1"/>
    <col min="1295" max="1295" width="12.28515625" style="2" customWidth="1"/>
    <col min="1296" max="1297" width="7.140625" style="2" customWidth="1"/>
    <col min="1298" max="1536" width="8.85546875" style="2"/>
    <col min="1537" max="1537" width="50.28515625" style="2" customWidth="1"/>
    <col min="1538" max="1538" width="12.5703125" style="2" customWidth="1"/>
    <col min="1539" max="1543" width="0" style="2" hidden="1" customWidth="1"/>
    <col min="1544" max="1545" width="9.7109375" style="2" customWidth="1"/>
    <col min="1546" max="1547" width="10.7109375" style="2" customWidth="1"/>
    <col min="1548" max="1549" width="10.42578125" style="2" customWidth="1"/>
    <col min="1550" max="1550" width="7.140625" style="2" customWidth="1"/>
    <col min="1551" max="1551" width="12.28515625" style="2" customWidth="1"/>
    <col min="1552" max="1553" width="7.140625" style="2" customWidth="1"/>
    <col min="1554" max="1792" width="8.85546875" style="2"/>
    <col min="1793" max="1793" width="50.28515625" style="2" customWidth="1"/>
    <col min="1794" max="1794" width="12.5703125" style="2" customWidth="1"/>
    <col min="1795" max="1799" width="0" style="2" hidden="1" customWidth="1"/>
    <col min="1800" max="1801" width="9.7109375" style="2" customWidth="1"/>
    <col min="1802" max="1803" width="10.7109375" style="2" customWidth="1"/>
    <col min="1804" max="1805" width="10.42578125" style="2" customWidth="1"/>
    <col min="1806" max="1806" width="7.140625" style="2" customWidth="1"/>
    <col min="1807" max="1807" width="12.28515625" style="2" customWidth="1"/>
    <col min="1808" max="1809" width="7.140625" style="2" customWidth="1"/>
    <col min="1810" max="2048" width="8.85546875" style="2"/>
    <col min="2049" max="2049" width="50.28515625" style="2" customWidth="1"/>
    <col min="2050" max="2050" width="12.5703125" style="2" customWidth="1"/>
    <col min="2051" max="2055" width="0" style="2" hidden="1" customWidth="1"/>
    <col min="2056" max="2057" width="9.7109375" style="2" customWidth="1"/>
    <col min="2058" max="2059" width="10.7109375" style="2" customWidth="1"/>
    <col min="2060" max="2061" width="10.42578125" style="2" customWidth="1"/>
    <col min="2062" max="2062" width="7.140625" style="2" customWidth="1"/>
    <col min="2063" max="2063" width="12.28515625" style="2" customWidth="1"/>
    <col min="2064" max="2065" width="7.140625" style="2" customWidth="1"/>
    <col min="2066" max="2304" width="8.85546875" style="2"/>
    <col min="2305" max="2305" width="50.28515625" style="2" customWidth="1"/>
    <col min="2306" max="2306" width="12.5703125" style="2" customWidth="1"/>
    <col min="2307" max="2311" width="0" style="2" hidden="1" customWidth="1"/>
    <col min="2312" max="2313" width="9.7109375" style="2" customWidth="1"/>
    <col min="2314" max="2315" width="10.7109375" style="2" customWidth="1"/>
    <col min="2316" max="2317" width="10.42578125" style="2" customWidth="1"/>
    <col min="2318" max="2318" width="7.140625" style="2" customWidth="1"/>
    <col min="2319" max="2319" width="12.28515625" style="2" customWidth="1"/>
    <col min="2320" max="2321" width="7.140625" style="2" customWidth="1"/>
    <col min="2322" max="2560" width="8.85546875" style="2"/>
    <col min="2561" max="2561" width="50.28515625" style="2" customWidth="1"/>
    <col min="2562" max="2562" width="12.5703125" style="2" customWidth="1"/>
    <col min="2563" max="2567" width="0" style="2" hidden="1" customWidth="1"/>
    <col min="2568" max="2569" width="9.7109375" style="2" customWidth="1"/>
    <col min="2570" max="2571" width="10.7109375" style="2" customWidth="1"/>
    <col min="2572" max="2573" width="10.42578125" style="2" customWidth="1"/>
    <col min="2574" max="2574" width="7.140625" style="2" customWidth="1"/>
    <col min="2575" max="2575" width="12.28515625" style="2" customWidth="1"/>
    <col min="2576" max="2577" width="7.140625" style="2" customWidth="1"/>
    <col min="2578" max="2816" width="8.85546875" style="2"/>
    <col min="2817" max="2817" width="50.28515625" style="2" customWidth="1"/>
    <col min="2818" max="2818" width="12.5703125" style="2" customWidth="1"/>
    <col min="2819" max="2823" width="0" style="2" hidden="1" customWidth="1"/>
    <col min="2824" max="2825" width="9.7109375" style="2" customWidth="1"/>
    <col min="2826" max="2827" width="10.7109375" style="2" customWidth="1"/>
    <col min="2828" max="2829" width="10.42578125" style="2" customWidth="1"/>
    <col min="2830" max="2830" width="7.140625" style="2" customWidth="1"/>
    <col min="2831" max="2831" width="12.28515625" style="2" customWidth="1"/>
    <col min="2832" max="2833" width="7.140625" style="2" customWidth="1"/>
    <col min="2834" max="3072" width="8.85546875" style="2"/>
    <col min="3073" max="3073" width="50.28515625" style="2" customWidth="1"/>
    <col min="3074" max="3074" width="12.5703125" style="2" customWidth="1"/>
    <col min="3075" max="3079" width="0" style="2" hidden="1" customWidth="1"/>
    <col min="3080" max="3081" width="9.7109375" style="2" customWidth="1"/>
    <col min="3082" max="3083" width="10.7109375" style="2" customWidth="1"/>
    <col min="3084" max="3085" width="10.42578125" style="2" customWidth="1"/>
    <col min="3086" max="3086" width="7.140625" style="2" customWidth="1"/>
    <col min="3087" max="3087" width="12.28515625" style="2" customWidth="1"/>
    <col min="3088" max="3089" width="7.140625" style="2" customWidth="1"/>
    <col min="3090" max="3328" width="8.85546875" style="2"/>
    <col min="3329" max="3329" width="50.28515625" style="2" customWidth="1"/>
    <col min="3330" max="3330" width="12.5703125" style="2" customWidth="1"/>
    <col min="3331" max="3335" width="0" style="2" hidden="1" customWidth="1"/>
    <col min="3336" max="3337" width="9.7109375" style="2" customWidth="1"/>
    <col min="3338" max="3339" width="10.7109375" style="2" customWidth="1"/>
    <col min="3340" max="3341" width="10.42578125" style="2" customWidth="1"/>
    <col min="3342" max="3342" width="7.140625" style="2" customWidth="1"/>
    <col min="3343" max="3343" width="12.28515625" style="2" customWidth="1"/>
    <col min="3344" max="3345" width="7.140625" style="2" customWidth="1"/>
    <col min="3346" max="3584" width="8.85546875" style="2"/>
    <col min="3585" max="3585" width="50.28515625" style="2" customWidth="1"/>
    <col min="3586" max="3586" width="12.5703125" style="2" customWidth="1"/>
    <col min="3587" max="3591" width="0" style="2" hidden="1" customWidth="1"/>
    <col min="3592" max="3593" width="9.7109375" style="2" customWidth="1"/>
    <col min="3594" max="3595" width="10.7109375" style="2" customWidth="1"/>
    <col min="3596" max="3597" width="10.42578125" style="2" customWidth="1"/>
    <col min="3598" max="3598" width="7.140625" style="2" customWidth="1"/>
    <col min="3599" max="3599" width="12.28515625" style="2" customWidth="1"/>
    <col min="3600" max="3601" width="7.140625" style="2" customWidth="1"/>
    <col min="3602" max="3840" width="8.85546875" style="2"/>
    <col min="3841" max="3841" width="50.28515625" style="2" customWidth="1"/>
    <col min="3842" max="3842" width="12.5703125" style="2" customWidth="1"/>
    <col min="3843" max="3847" width="0" style="2" hidden="1" customWidth="1"/>
    <col min="3848" max="3849" width="9.7109375" style="2" customWidth="1"/>
    <col min="3850" max="3851" width="10.7109375" style="2" customWidth="1"/>
    <col min="3852" max="3853" width="10.42578125" style="2" customWidth="1"/>
    <col min="3854" max="3854" width="7.140625" style="2" customWidth="1"/>
    <col min="3855" max="3855" width="12.28515625" style="2" customWidth="1"/>
    <col min="3856" max="3857" width="7.140625" style="2" customWidth="1"/>
    <col min="3858" max="4096" width="8.85546875" style="2"/>
    <col min="4097" max="4097" width="50.28515625" style="2" customWidth="1"/>
    <col min="4098" max="4098" width="12.5703125" style="2" customWidth="1"/>
    <col min="4099" max="4103" width="0" style="2" hidden="1" customWidth="1"/>
    <col min="4104" max="4105" width="9.7109375" style="2" customWidth="1"/>
    <col min="4106" max="4107" width="10.7109375" style="2" customWidth="1"/>
    <col min="4108" max="4109" width="10.42578125" style="2" customWidth="1"/>
    <col min="4110" max="4110" width="7.140625" style="2" customWidth="1"/>
    <col min="4111" max="4111" width="12.28515625" style="2" customWidth="1"/>
    <col min="4112" max="4113" width="7.140625" style="2" customWidth="1"/>
    <col min="4114" max="4352" width="8.85546875" style="2"/>
    <col min="4353" max="4353" width="50.28515625" style="2" customWidth="1"/>
    <col min="4354" max="4354" width="12.5703125" style="2" customWidth="1"/>
    <col min="4355" max="4359" width="0" style="2" hidden="1" customWidth="1"/>
    <col min="4360" max="4361" width="9.7109375" style="2" customWidth="1"/>
    <col min="4362" max="4363" width="10.7109375" style="2" customWidth="1"/>
    <col min="4364" max="4365" width="10.42578125" style="2" customWidth="1"/>
    <col min="4366" max="4366" width="7.140625" style="2" customWidth="1"/>
    <col min="4367" max="4367" width="12.28515625" style="2" customWidth="1"/>
    <col min="4368" max="4369" width="7.140625" style="2" customWidth="1"/>
    <col min="4370" max="4608" width="8.85546875" style="2"/>
    <col min="4609" max="4609" width="50.28515625" style="2" customWidth="1"/>
    <col min="4610" max="4610" width="12.5703125" style="2" customWidth="1"/>
    <col min="4611" max="4615" width="0" style="2" hidden="1" customWidth="1"/>
    <col min="4616" max="4617" width="9.7109375" style="2" customWidth="1"/>
    <col min="4618" max="4619" width="10.7109375" style="2" customWidth="1"/>
    <col min="4620" max="4621" width="10.42578125" style="2" customWidth="1"/>
    <col min="4622" max="4622" width="7.140625" style="2" customWidth="1"/>
    <col min="4623" max="4623" width="12.28515625" style="2" customWidth="1"/>
    <col min="4624" max="4625" width="7.140625" style="2" customWidth="1"/>
    <col min="4626" max="4864" width="8.85546875" style="2"/>
    <col min="4865" max="4865" width="50.28515625" style="2" customWidth="1"/>
    <col min="4866" max="4866" width="12.5703125" style="2" customWidth="1"/>
    <col min="4867" max="4871" width="0" style="2" hidden="1" customWidth="1"/>
    <col min="4872" max="4873" width="9.7109375" style="2" customWidth="1"/>
    <col min="4874" max="4875" width="10.7109375" style="2" customWidth="1"/>
    <col min="4876" max="4877" width="10.42578125" style="2" customWidth="1"/>
    <col min="4878" max="4878" width="7.140625" style="2" customWidth="1"/>
    <col min="4879" max="4879" width="12.28515625" style="2" customWidth="1"/>
    <col min="4880" max="4881" width="7.140625" style="2" customWidth="1"/>
    <col min="4882" max="5120" width="8.85546875" style="2"/>
    <col min="5121" max="5121" width="50.28515625" style="2" customWidth="1"/>
    <col min="5122" max="5122" width="12.5703125" style="2" customWidth="1"/>
    <col min="5123" max="5127" width="0" style="2" hidden="1" customWidth="1"/>
    <col min="5128" max="5129" width="9.7109375" style="2" customWidth="1"/>
    <col min="5130" max="5131" width="10.7109375" style="2" customWidth="1"/>
    <col min="5132" max="5133" width="10.42578125" style="2" customWidth="1"/>
    <col min="5134" max="5134" width="7.140625" style="2" customWidth="1"/>
    <col min="5135" max="5135" width="12.28515625" style="2" customWidth="1"/>
    <col min="5136" max="5137" width="7.140625" style="2" customWidth="1"/>
    <col min="5138" max="5376" width="8.85546875" style="2"/>
    <col min="5377" max="5377" width="50.28515625" style="2" customWidth="1"/>
    <col min="5378" max="5378" width="12.5703125" style="2" customWidth="1"/>
    <col min="5379" max="5383" width="0" style="2" hidden="1" customWidth="1"/>
    <col min="5384" max="5385" width="9.7109375" style="2" customWidth="1"/>
    <col min="5386" max="5387" width="10.7109375" style="2" customWidth="1"/>
    <col min="5388" max="5389" width="10.42578125" style="2" customWidth="1"/>
    <col min="5390" max="5390" width="7.140625" style="2" customWidth="1"/>
    <col min="5391" max="5391" width="12.28515625" style="2" customWidth="1"/>
    <col min="5392" max="5393" width="7.140625" style="2" customWidth="1"/>
    <col min="5394" max="5632" width="8.85546875" style="2"/>
    <col min="5633" max="5633" width="50.28515625" style="2" customWidth="1"/>
    <col min="5634" max="5634" width="12.5703125" style="2" customWidth="1"/>
    <col min="5635" max="5639" width="0" style="2" hidden="1" customWidth="1"/>
    <col min="5640" max="5641" width="9.7109375" style="2" customWidth="1"/>
    <col min="5642" max="5643" width="10.7109375" style="2" customWidth="1"/>
    <col min="5644" max="5645" width="10.42578125" style="2" customWidth="1"/>
    <col min="5646" max="5646" width="7.140625" style="2" customWidth="1"/>
    <col min="5647" max="5647" width="12.28515625" style="2" customWidth="1"/>
    <col min="5648" max="5649" width="7.140625" style="2" customWidth="1"/>
    <col min="5650" max="5888" width="8.85546875" style="2"/>
    <col min="5889" max="5889" width="50.28515625" style="2" customWidth="1"/>
    <col min="5890" max="5890" width="12.5703125" style="2" customWidth="1"/>
    <col min="5891" max="5895" width="0" style="2" hidden="1" customWidth="1"/>
    <col min="5896" max="5897" width="9.7109375" style="2" customWidth="1"/>
    <col min="5898" max="5899" width="10.7109375" style="2" customWidth="1"/>
    <col min="5900" max="5901" width="10.42578125" style="2" customWidth="1"/>
    <col min="5902" max="5902" width="7.140625" style="2" customWidth="1"/>
    <col min="5903" max="5903" width="12.28515625" style="2" customWidth="1"/>
    <col min="5904" max="5905" width="7.140625" style="2" customWidth="1"/>
    <col min="5906" max="6144" width="8.85546875" style="2"/>
    <col min="6145" max="6145" width="50.28515625" style="2" customWidth="1"/>
    <col min="6146" max="6146" width="12.5703125" style="2" customWidth="1"/>
    <col min="6147" max="6151" width="0" style="2" hidden="1" customWidth="1"/>
    <col min="6152" max="6153" width="9.7109375" style="2" customWidth="1"/>
    <col min="6154" max="6155" width="10.7109375" style="2" customWidth="1"/>
    <col min="6156" max="6157" width="10.42578125" style="2" customWidth="1"/>
    <col min="6158" max="6158" width="7.140625" style="2" customWidth="1"/>
    <col min="6159" max="6159" width="12.28515625" style="2" customWidth="1"/>
    <col min="6160" max="6161" width="7.140625" style="2" customWidth="1"/>
    <col min="6162" max="6400" width="8.85546875" style="2"/>
    <col min="6401" max="6401" width="50.28515625" style="2" customWidth="1"/>
    <col min="6402" max="6402" width="12.5703125" style="2" customWidth="1"/>
    <col min="6403" max="6407" width="0" style="2" hidden="1" customWidth="1"/>
    <col min="6408" max="6409" width="9.7109375" style="2" customWidth="1"/>
    <col min="6410" max="6411" width="10.7109375" style="2" customWidth="1"/>
    <col min="6412" max="6413" width="10.42578125" style="2" customWidth="1"/>
    <col min="6414" max="6414" width="7.140625" style="2" customWidth="1"/>
    <col min="6415" max="6415" width="12.28515625" style="2" customWidth="1"/>
    <col min="6416" max="6417" width="7.140625" style="2" customWidth="1"/>
    <col min="6418" max="6656" width="8.85546875" style="2"/>
    <col min="6657" max="6657" width="50.28515625" style="2" customWidth="1"/>
    <col min="6658" max="6658" width="12.5703125" style="2" customWidth="1"/>
    <col min="6659" max="6663" width="0" style="2" hidden="1" customWidth="1"/>
    <col min="6664" max="6665" width="9.7109375" style="2" customWidth="1"/>
    <col min="6666" max="6667" width="10.7109375" style="2" customWidth="1"/>
    <col min="6668" max="6669" width="10.42578125" style="2" customWidth="1"/>
    <col min="6670" max="6670" width="7.140625" style="2" customWidth="1"/>
    <col min="6671" max="6671" width="12.28515625" style="2" customWidth="1"/>
    <col min="6672" max="6673" width="7.140625" style="2" customWidth="1"/>
    <col min="6674" max="6912" width="8.85546875" style="2"/>
    <col min="6913" max="6913" width="50.28515625" style="2" customWidth="1"/>
    <col min="6914" max="6914" width="12.5703125" style="2" customWidth="1"/>
    <col min="6915" max="6919" width="0" style="2" hidden="1" customWidth="1"/>
    <col min="6920" max="6921" width="9.7109375" style="2" customWidth="1"/>
    <col min="6922" max="6923" width="10.7109375" style="2" customWidth="1"/>
    <col min="6924" max="6925" width="10.42578125" style="2" customWidth="1"/>
    <col min="6926" max="6926" width="7.140625" style="2" customWidth="1"/>
    <col min="6927" max="6927" width="12.28515625" style="2" customWidth="1"/>
    <col min="6928" max="6929" width="7.140625" style="2" customWidth="1"/>
    <col min="6930" max="7168" width="8.85546875" style="2"/>
    <col min="7169" max="7169" width="50.28515625" style="2" customWidth="1"/>
    <col min="7170" max="7170" width="12.5703125" style="2" customWidth="1"/>
    <col min="7171" max="7175" width="0" style="2" hidden="1" customWidth="1"/>
    <col min="7176" max="7177" width="9.7109375" style="2" customWidth="1"/>
    <col min="7178" max="7179" width="10.7109375" style="2" customWidth="1"/>
    <col min="7180" max="7181" width="10.42578125" style="2" customWidth="1"/>
    <col min="7182" max="7182" width="7.140625" style="2" customWidth="1"/>
    <col min="7183" max="7183" width="12.28515625" style="2" customWidth="1"/>
    <col min="7184" max="7185" width="7.140625" style="2" customWidth="1"/>
    <col min="7186" max="7424" width="8.85546875" style="2"/>
    <col min="7425" max="7425" width="50.28515625" style="2" customWidth="1"/>
    <col min="7426" max="7426" width="12.5703125" style="2" customWidth="1"/>
    <col min="7427" max="7431" width="0" style="2" hidden="1" customWidth="1"/>
    <col min="7432" max="7433" width="9.7109375" style="2" customWidth="1"/>
    <col min="7434" max="7435" width="10.7109375" style="2" customWidth="1"/>
    <col min="7436" max="7437" width="10.42578125" style="2" customWidth="1"/>
    <col min="7438" max="7438" width="7.140625" style="2" customWidth="1"/>
    <col min="7439" max="7439" width="12.28515625" style="2" customWidth="1"/>
    <col min="7440" max="7441" width="7.140625" style="2" customWidth="1"/>
    <col min="7442" max="7680" width="8.85546875" style="2"/>
    <col min="7681" max="7681" width="50.28515625" style="2" customWidth="1"/>
    <col min="7682" max="7682" width="12.5703125" style="2" customWidth="1"/>
    <col min="7683" max="7687" width="0" style="2" hidden="1" customWidth="1"/>
    <col min="7688" max="7689" width="9.7109375" style="2" customWidth="1"/>
    <col min="7690" max="7691" width="10.7109375" style="2" customWidth="1"/>
    <col min="7692" max="7693" width="10.42578125" style="2" customWidth="1"/>
    <col min="7694" max="7694" width="7.140625" style="2" customWidth="1"/>
    <col min="7695" max="7695" width="12.28515625" style="2" customWidth="1"/>
    <col min="7696" max="7697" width="7.140625" style="2" customWidth="1"/>
    <col min="7698" max="7936" width="8.85546875" style="2"/>
    <col min="7937" max="7937" width="50.28515625" style="2" customWidth="1"/>
    <col min="7938" max="7938" width="12.5703125" style="2" customWidth="1"/>
    <col min="7939" max="7943" width="0" style="2" hidden="1" customWidth="1"/>
    <col min="7944" max="7945" width="9.7109375" style="2" customWidth="1"/>
    <col min="7946" max="7947" width="10.7109375" style="2" customWidth="1"/>
    <col min="7948" max="7949" width="10.42578125" style="2" customWidth="1"/>
    <col min="7950" max="7950" width="7.140625" style="2" customWidth="1"/>
    <col min="7951" max="7951" width="12.28515625" style="2" customWidth="1"/>
    <col min="7952" max="7953" width="7.140625" style="2" customWidth="1"/>
    <col min="7954" max="8192" width="8.85546875" style="2"/>
    <col min="8193" max="8193" width="50.28515625" style="2" customWidth="1"/>
    <col min="8194" max="8194" width="12.5703125" style="2" customWidth="1"/>
    <col min="8195" max="8199" width="0" style="2" hidden="1" customWidth="1"/>
    <col min="8200" max="8201" width="9.7109375" style="2" customWidth="1"/>
    <col min="8202" max="8203" width="10.7109375" style="2" customWidth="1"/>
    <col min="8204" max="8205" width="10.42578125" style="2" customWidth="1"/>
    <col min="8206" max="8206" width="7.140625" style="2" customWidth="1"/>
    <col min="8207" max="8207" width="12.28515625" style="2" customWidth="1"/>
    <col min="8208" max="8209" width="7.140625" style="2" customWidth="1"/>
    <col min="8210" max="8448" width="8.85546875" style="2"/>
    <col min="8449" max="8449" width="50.28515625" style="2" customWidth="1"/>
    <col min="8450" max="8450" width="12.5703125" style="2" customWidth="1"/>
    <col min="8451" max="8455" width="0" style="2" hidden="1" customWidth="1"/>
    <col min="8456" max="8457" width="9.7109375" style="2" customWidth="1"/>
    <col min="8458" max="8459" width="10.7109375" style="2" customWidth="1"/>
    <col min="8460" max="8461" width="10.42578125" style="2" customWidth="1"/>
    <col min="8462" max="8462" width="7.140625" style="2" customWidth="1"/>
    <col min="8463" max="8463" width="12.28515625" style="2" customWidth="1"/>
    <col min="8464" max="8465" width="7.140625" style="2" customWidth="1"/>
    <col min="8466" max="8704" width="8.85546875" style="2"/>
    <col min="8705" max="8705" width="50.28515625" style="2" customWidth="1"/>
    <col min="8706" max="8706" width="12.5703125" style="2" customWidth="1"/>
    <col min="8707" max="8711" width="0" style="2" hidden="1" customWidth="1"/>
    <col min="8712" max="8713" width="9.7109375" style="2" customWidth="1"/>
    <col min="8714" max="8715" width="10.7109375" style="2" customWidth="1"/>
    <col min="8716" max="8717" width="10.42578125" style="2" customWidth="1"/>
    <col min="8718" max="8718" width="7.140625" style="2" customWidth="1"/>
    <col min="8719" max="8719" width="12.28515625" style="2" customWidth="1"/>
    <col min="8720" max="8721" width="7.140625" style="2" customWidth="1"/>
    <col min="8722" max="8960" width="8.85546875" style="2"/>
    <col min="8961" max="8961" width="50.28515625" style="2" customWidth="1"/>
    <col min="8962" max="8962" width="12.5703125" style="2" customWidth="1"/>
    <col min="8963" max="8967" width="0" style="2" hidden="1" customWidth="1"/>
    <col min="8968" max="8969" width="9.7109375" style="2" customWidth="1"/>
    <col min="8970" max="8971" width="10.7109375" style="2" customWidth="1"/>
    <col min="8972" max="8973" width="10.42578125" style="2" customWidth="1"/>
    <col min="8974" max="8974" width="7.140625" style="2" customWidth="1"/>
    <col min="8975" max="8975" width="12.28515625" style="2" customWidth="1"/>
    <col min="8976" max="8977" width="7.140625" style="2" customWidth="1"/>
    <col min="8978" max="9216" width="8.85546875" style="2"/>
    <col min="9217" max="9217" width="50.28515625" style="2" customWidth="1"/>
    <col min="9218" max="9218" width="12.5703125" style="2" customWidth="1"/>
    <col min="9219" max="9223" width="0" style="2" hidden="1" customWidth="1"/>
    <col min="9224" max="9225" width="9.7109375" style="2" customWidth="1"/>
    <col min="9226" max="9227" width="10.7109375" style="2" customWidth="1"/>
    <col min="9228" max="9229" width="10.42578125" style="2" customWidth="1"/>
    <col min="9230" max="9230" width="7.140625" style="2" customWidth="1"/>
    <col min="9231" max="9231" width="12.28515625" style="2" customWidth="1"/>
    <col min="9232" max="9233" width="7.140625" style="2" customWidth="1"/>
    <col min="9234" max="9472" width="8.85546875" style="2"/>
    <col min="9473" max="9473" width="50.28515625" style="2" customWidth="1"/>
    <col min="9474" max="9474" width="12.5703125" style="2" customWidth="1"/>
    <col min="9475" max="9479" width="0" style="2" hidden="1" customWidth="1"/>
    <col min="9480" max="9481" width="9.7109375" style="2" customWidth="1"/>
    <col min="9482" max="9483" width="10.7109375" style="2" customWidth="1"/>
    <col min="9484" max="9485" width="10.42578125" style="2" customWidth="1"/>
    <col min="9486" max="9486" width="7.140625" style="2" customWidth="1"/>
    <col min="9487" max="9487" width="12.28515625" style="2" customWidth="1"/>
    <col min="9488" max="9489" width="7.140625" style="2" customWidth="1"/>
    <col min="9490" max="9728" width="8.85546875" style="2"/>
    <col min="9729" max="9729" width="50.28515625" style="2" customWidth="1"/>
    <col min="9730" max="9730" width="12.5703125" style="2" customWidth="1"/>
    <col min="9731" max="9735" width="0" style="2" hidden="1" customWidth="1"/>
    <col min="9736" max="9737" width="9.7109375" style="2" customWidth="1"/>
    <col min="9738" max="9739" width="10.7109375" style="2" customWidth="1"/>
    <col min="9740" max="9741" width="10.42578125" style="2" customWidth="1"/>
    <col min="9742" max="9742" width="7.140625" style="2" customWidth="1"/>
    <col min="9743" max="9743" width="12.28515625" style="2" customWidth="1"/>
    <col min="9744" max="9745" width="7.140625" style="2" customWidth="1"/>
    <col min="9746" max="9984" width="8.85546875" style="2"/>
    <col min="9985" max="9985" width="50.28515625" style="2" customWidth="1"/>
    <col min="9986" max="9986" width="12.5703125" style="2" customWidth="1"/>
    <col min="9987" max="9991" width="0" style="2" hidden="1" customWidth="1"/>
    <col min="9992" max="9993" width="9.7109375" style="2" customWidth="1"/>
    <col min="9994" max="9995" width="10.7109375" style="2" customWidth="1"/>
    <col min="9996" max="9997" width="10.42578125" style="2" customWidth="1"/>
    <col min="9998" max="9998" width="7.140625" style="2" customWidth="1"/>
    <col min="9999" max="9999" width="12.28515625" style="2" customWidth="1"/>
    <col min="10000" max="10001" width="7.140625" style="2" customWidth="1"/>
    <col min="10002" max="10240" width="8.85546875" style="2"/>
    <col min="10241" max="10241" width="50.28515625" style="2" customWidth="1"/>
    <col min="10242" max="10242" width="12.5703125" style="2" customWidth="1"/>
    <col min="10243" max="10247" width="0" style="2" hidden="1" customWidth="1"/>
    <col min="10248" max="10249" width="9.7109375" style="2" customWidth="1"/>
    <col min="10250" max="10251" width="10.7109375" style="2" customWidth="1"/>
    <col min="10252" max="10253" width="10.42578125" style="2" customWidth="1"/>
    <col min="10254" max="10254" width="7.140625" style="2" customWidth="1"/>
    <col min="10255" max="10255" width="12.28515625" style="2" customWidth="1"/>
    <col min="10256" max="10257" width="7.140625" style="2" customWidth="1"/>
    <col min="10258" max="10496" width="8.85546875" style="2"/>
    <col min="10497" max="10497" width="50.28515625" style="2" customWidth="1"/>
    <col min="10498" max="10498" width="12.5703125" style="2" customWidth="1"/>
    <col min="10499" max="10503" width="0" style="2" hidden="1" customWidth="1"/>
    <col min="10504" max="10505" width="9.7109375" style="2" customWidth="1"/>
    <col min="10506" max="10507" width="10.7109375" style="2" customWidth="1"/>
    <col min="10508" max="10509" width="10.42578125" style="2" customWidth="1"/>
    <col min="10510" max="10510" width="7.140625" style="2" customWidth="1"/>
    <col min="10511" max="10511" width="12.28515625" style="2" customWidth="1"/>
    <col min="10512" max="10513" width="7.140625" style="2" customWidth="1"/>
    <col min="10514" max="10752" width="8.85546875" style="2"/>
    <col min="10753" max="10753" width="50.28515625" style="2" customWidth="1"/>
    <col min="10754" max="10754" width="12.5703125" style="2" customWidth="1"/>
    <col min="10755" max="10759" width="0" style="2" hidden="1" customWidth="1"/>
    <col min="10760" max="10761" width="9.7109375" style="2" customWidth="1"/>
    <col min="10762" max="10763" width="10.7109375" style="2" customWidth="1"/>
    <col min="10764" max="10765" width="10.42578125" style="2" customWidth="1"/>
    <col min="10766" max="10766" width="7.140625" style="2" customWidth="1"/>
    <col min="10767" max="10767" width="12.28515625" style="2" customWidth="1"/>
    <col min="10768" max="10769" width="7.140625" style="2" customWidth="1"/>
    <col min="10770" max="11008" width="8.85546875" style="2"/>
    <col min="11009" max="11009" width="50.28515625" style="2" customWidth="1"/>
    <col min="11010" max="11010" width="12.5703125" style="2" customWidth="1"/>
    <col min="11011" max="11015" width="0" style="2" hidden="1" customWidth="1"/>
    <col min="11016" max="11017" width="9.7109375" style="2" customWidth="1"/>
    <col min="11018" max="11019" width="10.7109375" style="2" customWidth="1"/>
    <col min="11020" max="11021" width="10.42578125" style="2" customWidth="1"/>
    <col min="11022" max="11022" width="7.140625" style="2" customWidth="1"/>
    <col min="11023" max="11023" width="12.28515625" style="2" customWidth="1"/>
    <col min="11024" max="11025" width="7.140625" style="2" customWidth="1"/>
    <col min="11026" max="11264" width="8.85546875" style="2"/>
    <col min="11265" max="11265" width="50.28515625" style="2" customWidth="1"/>
    <col min="11266" max="11266" width="12.5703125" style="2" customWidth="1"/>
    <col min="11267" max="11271" width="0" style="2" hidden="1" customWidth="1"/>
    <col min="11272" max="11273" width="9.7109375" style="2" customWidth="1"/>
    <col min="11274" max="11275" width="10.7109375" style="2" customWidth="1"/>
    <col min="11276" max="11277" width="10.42578125" style="2" customWidth="1"/>
    <col min="11278" max="11278" width="7.140625" style="2" customWidth="1"/>
    <col min="11279" max="11279" width="12.28515625" style="2" customWidth="1"/>
    <col min="11280" max="11281" width="7.140625" style="2" customWidth="1"/>
    <col min="11282" max="11520" width="8.85546875" style="2"/>
    <col min="11521" max="11521" width="50.28515625" style="2" customWidth="1"/>
    <col min="11522" max="11522" width="12.5703125" style="2" customWidth="1"/>
    <col min="11523" max="11527" width="0" style="2" hidden="1" customWidth="1"/>
    <col min="11528" max="11529" width="9.7109375" style="2" customWidth="1"/>
    <col min="11530" max="11531" width="10.7109375" style="2" customWidth="1"/>
    <col min="11532" max="11533" width="10.42578125" style="2" customWidth="1"/>
    <col min="11534" max="11534" width="7.140625" style="2" customWidth="1"/>
    <col min="11535" max="11535" width="12.28515625" style="2" customWidth="1"/>
    <col min="11536" max="11537" width="7.140625" style="2" customWidth="1"/>
    <col min="11538" max="11776" width="8.85546875" style="2"/>
    <col min="11777" max="11777" width="50.28515625" style="2" customWidth="1"/>
    <col min="11778" max="11778" width="12.5703125" style="2" customWidth="1"/>
    <col min="11779" max="11783" width="0" style="2" hidden="1" customWidth="1"/>
    <col min="11784" max="11785" width="9.7109375" style="2" customWidth="1"/>
    <col min="11786" max="11787" width="10.7109375" style="2" customWidth="1"/>
    <col min="11788" max="11789" width="10.42578125" style="2" customWidth="1"/>
    <col min="11790" max="11790" width="7.140625" style="2" customWidth="1"/>
    <col min="11791" max="11791" width="12.28515625" style="2" customWidth="1"/>
    <col min="11792" max="11793" width="7.140625" style="2" customWidth="1"/>
    <col min="11794" max="12032" width="8.85546875" style="2"/>
    <col min="12033" max="12033" width="50.28515625" style="2" customWidth="1"/>
    <col min="12034" max="12034" width="12.5703125" style="2" customWidth="1"/>
    <col min="12035" max="12039" width="0" style="2" hidden="1" customWidth="1"/>
    <col min="12040" max="12041" width="9.7109375" style="2" customWidth="1"/>
    <col min="12042" max="12043" width="10.7109375" style="2" customWidth="1"/>
    <col min="12044" max="12045" width="10.42578125" style="2" customWidth="1"/>
    <col min="12046" max="12046" width="7.140625" style="2" customWidth="1"/>
    <col min="12047" max="12047" width="12.28515625" style="2" customWidth="1"/>
    <col min="12048" max="12049" width="7.140625" style="2" customWidth="1"/>
    <col min="12050" max="12288" width="8.85546875" style="2"/>
    <col min="12289" max="12289" width="50.28515625" style="2" customWidth="1"/>
    <col min="12290" max="12290" width="12.5703125" style="2" customWidth="1"/>
    <col min="12291" max="12295" width="0" style="2" hidden="1" customWidth="1"/>
    <col min="12296" max="12297" width="9.7109375" style="2" customWidth="1"/>
    <col min="12298" max="12299" width="10.7109375" style="2" customWidth="1"/>
    <col min="12300" max="12301" width="10.42578125" style="2" customWidth="1"/>
    <col min="12302" max="12302" width="7.140625" style="2" customWidth="1"/>
    <col min="12303" max="12303" width="12.28515625" style="2" customWidth="1"/>
    <col min="12304" max="12305" width="7.140625" style="2" customWidth="1"/>
    <col min="12306" max="12544" width="8.85546875" style="2"/>
    <col min="12545" max="12545" width="50.28515625" style="2" customWidth="1"/>
    <col min="12546" max="12546" width="12.5703125" style="2" customWidth="1"/>
    <col min="12547" max="12551" width="0" style="2" hidden="1" customWidth="1"/>
    <col min="12552" max="12553" width="9.7109375" style="2" customWidth="1"/>
    <col min="12554" max="12555" width="10.7109375" style="2" customWidth="1"/>
    <col min="12556" max="12557" width="10.42578125" style="2" customWidth="1"/>
    <col min="12558" max="12558" width="7.140625" style="2" customWidth="1"/>
    <col min="12559" max="12559" width="12.28515625" style="2" customWidth="1"/>
    <col min="12560" max="12561" width="7.140625" style="2" customWidth="1"/>
    <col min="12562" max="12800" width="8.85546875" style="2"/>
    <col min="12801" max="12801" width="50.28515625" style="2" customWidth="1"/>
    <col min="12802" max="12802" width="12.5703125" style="2" customWidth="1"/>
    <col min="12803" max="12807" width="0" style="2" hidden="1" customWidth="1"/>
    <col min="12808" max="12809" width="9.7109375" style="2" customWidth="1"/>
    <col min="12810" max="12811" width="10.7109375" style="2" customWidth="1"/>
    <col min="12812" max="12813" width="10.42578125" style="2" customWidth="1"/>
    <col min="12814" max="12814" width="7.140625" style="2" customWidth="1"/>
    <col min="12815" max="12815" width="12.28515625" style="2" customWidth="1"/>
    <col min="12816" max="12817" width="7.140625" style="2" customWidth="1"/>
    <col min="12818" max="13056" width="8.85546875" style="2"/>
    <col min="13057" max="13057" width="50.28515625" style="2" customWidth="1"/>
    <col min="13058" max="13058" width="12.5703125" style="2" customWidth="1"/>
    <col min="13059" max="13063" width="0" style="2" hidden="1" customWidth="1"/>
    <col min="13064" max="13065" width="9.7109375" style="2" customWidth="1"/>
    <col min="13066" max="13067" width="10.7109375" style="2" customWidth="1"/>
    <col min="13068" max="13069" width="10.42578125" style="2" customWidth="1"/>
    <col min="13070" max="13070" width="7.140625" style="2" customWidth="1"/>
    <col min="13071" max="13071" width="12.28515625" style="2" customWidth="1"/>
    <col min="13072" max="13073" width="7.140625" style="2" customWidth="1"/>
    <col min="13074" max="13312" width="8.85546875" style="2"/>
    <col min="13313" max="13313" width="50.28515625" style="2" customWidth="1"/>
    <col min="13314" max="13314" width="12.5703125" style="2" customWidth="1"/>
    <col min="13315" max="13319" width="0" style="2" hidden="1" customWidth="1"/>
    <col min="13320" max="13321" width="9.7109375" style="2" customWidth="1"/>
    <col min="13322" max="13323" width="10.7109375" style="2" customWidth="1"/>
    <col min="13324" max="13325" width="10.42578125" style="2" customWidth="1"/>
    <col min="13326" max="13326" width="7.140625" style="2" customWidth="1"/>
    <col min="13327" max="13327" width="12.28515625" style="2" customWidth="1"/>
    <col min="13328" max="13329" width="7.140625" style="2" customWidth="1"/>
    <col min="13330" max="13568" width="8.85546875" style="2"/>
    <col min="13569" max="13569" width="50.28515625" style="2" customWidth="1"/>
    <col min="13570" max="13570" width="12.5703125" style="2" customWidth="1"/>
    <col min="13571" max="13575" width="0" style="2" hidden="1" customWidth="1"/>
    <col min="13576" max="13577" width="9.7109375" style="2" customWidth="1"/>
    <col min="13578" max="13579" width="10.7109375" style="2" customWidth="1"/>
    <col min="13580" max="13581" width="10.42578125" style="2" customWidth="1"/>
    <col min="13582" max="13582" width="7.140625" style="2" customWidth="1"/>
    <col min="13583" max="13583" width="12.28515625" style="2" customWidth="1"/>
    <col min="13584" max="13585" width="7.140625" style="2" customWidth="1"/>
    <col min="13586" max="13824" width="8.85546875" style="2"/>
    <col min="13825" max="13825" width="50.28515625" style="2" customWidth="1"/>
    <col min="13826" max="13826" width="12.5703125" style="2" customWidth="1"/>
    <col min="13827" max="13831" width="0" style="2" hidden="1" customWidth="1"/>
    <col min="13832" max="13833" width="9.7109375" style="2" customWidth="1"/>
    <col min="13834" max="13835" width="10.7109375" style="2" customWidth="1"/>
    <col min="13836" max="13837" width="10.42578125" style="2" customWidth="1"/>
    <col min="13838" max="13838" width="7.140625" style="2" customWidth="1"/>
    <col min="13839" max="13839" width="12.28515625" style="2" customWidth="1"/>
    <col min="13840" max="13841" width="7.140625" style="2" customWidth="1"/>
    <col min="13842" max="14080" width="8.85546875" style="2"/>
    <col min="14081" max="14081" width="50.28515625" style="2" customWidth="1"/>
    <col min="14082" max="14082" width="12.5703125" style="2" customWidth="1"/>
    <col min="14083" max="14087" width="0" style="2" hidden="1" customWidth="1"/>
    <col min="14088" max="14089" width="9.7109375" style="2" customWidth="1"/>
    <col min="14090" max="14091" width="10.7109375" style="2" customWidth="1"/>
    <col min="14092" max="14093" width="10.42578125" style="2" customWidth="1"/>
    <col min="14094" max="14094" width="7.140625" style="2" customWidth="1"/>
    <col min="14095" max="14095" width="12.28515625" style="2" customWidth="1"/>
    <col min="14096" max="14097" width="7.140625" style="2" customWidth="1"/>
    <col min="14098" max="14336" width="8.85546875" style="2"/>
    <col min="14337" max="14337" width="50.28515625" style="2" customWidth="1"/>
    <col min="14338" max="14338" width="12.5703125" style="2" customWidth="1"/>
    <col min="14339" max="14343" width="0" style="2" hidden="1" customWidth="1"/>
    <col min="14344" max="14345" width="9.7109375" style="2" customWidth="1"/>
    <col min="14346" max="14347" width="10.7109375" style="2" customWidth="1"/>
    <col min="14348" max="14349" width="10.42578125" style="2" customWidth="1"/>
    <col min="14350" max="14350" width="7.140625" style="2" customWidth="1"/>
    <col min="14351" max="14351" width="12.28515625" style="2" customWidth="1"/>
    <col min="14352" max="14353" width="7.140625" style="2" customWidth="1"/>
    <col min="14354" max="14592" width="8.85546875" style="2"/>
    <col min="14593" max="14593" width="50.28515625" style="2" customWidth="1"/>
    <col min="14594" max="14594" width="12.5703125" style="2" customWidth="1"/>
    <col min="14595" max="14599" width="0" style="2" hidden="1" customWidth="1"/>
    <col min="14600" max="14601" width="9.7109375" style="2" customWidth="1"/>
    <col min="14602" max="14603" width="10.7109375" style="2" customWidth="1"/>
    <col min="14604" max="14605" width="10.42578125" style="2" customWidth="1"/>
    <col min="14606" max="14606" width="7.140625" style="2" customWidth="1"/>
    <col min="14607" max="14607" width="12.28515625" style="2" customWidth="1"/>
    <col min="14608" max="14609" width="7.140625" style="2" customWidth="1"/>
    <col min="14610" max="14848" width="8.85546875" style="2"/>
    <col min="14849" max="14849" width="50.28515625" style="2" customWidth="1"/>
    <col min="14850" max="14850" width="12.5703125" style="2" customWidth="1"/>
    <col min="14851" max="14855" width="0" style="2" hidden="1" customWidth="1"/>
    <col min="14856" max="14857" width="9.7109375" style="2" customWidth="1"/>
    <col min="14858" max="14859" width="10.7109375" style="2" customWidth="1"/>
    <col min="14860" max="14861" width="10.42578125" style="2" customWidth="1"/>
    <col min="14862" max="14862" width="7.140625" style="2" customWidth="1"/>
    <col min="14863" max="14863" width="12.28515625" style="2" customWidth="1"/>
    <col min="14864" max="14865" width="7.140625" style="2" customWidth="1"/>
    <col min="14866" max="15104" width="8.85546875" style="2"/>
    <col min="15105" max="15105" width="50.28515625" style="2" customWidth="1"/>
    <col min="15106" max="15106" width="12.5703125" style="2" customWidth="1"/>
    <col min="15107" max="15111" width="0" style="2" hidden="1" customWidth="1"/>
    <col min="15112" max="15113" width="9.7109375" style="2" customWidth="1"/>
    <col min="15114" max="15115" width="10.7109375" style="2" customWidth="1"/>
    <col min="15116" max="15117" width="10.42578125" style="2" customWidth="1"/>
    <col min="15118" max="15118" width="7.140625" style="2" customWidth="1"/>
    <col min="15119" max="15119" width="12.28515625" style="2" customWidth="1"/>
    <col min="15120" max="15121" width="7.140625" style="2" customWidth="1"/>
    <col min="15122" max="15360" width="8.85546875" style="2"/>
    <col min="15361" max="15361" width="50.28515625" style="2" customWidth="1"/>
    <col min="15362" max="15362" width="12.5703125" style="2" customWidth="1"/>
    <col min="15363" max="15367" width="0" style="2" hidden="1" customWidth="1"/>
    <col min="15368" max="15369" width="9.7109375" style="2" customWidth="1"/>
    <col min="15370" max="15371" width="10.7109375" style="2" customWidth="1"/>
    <col min="15372" max="15373" width="10.42578125" style="2" customWidth="1"/>
    <col min="15374" max="15374" width="7.140625" style="2" customWidth="1"/>
    <col min="15375" max="15375" width="12.28515625" style="2" customWidth="1"/>
    <col min="15376" max="15377" width="7.140625" style="2" customWidth="1"/>
    <col min="15378" max="15616" width="8.85546875" style="2"/>
    <col min="15617" max="15617" width="50.28515625" style="2" customWidth="1"/>
    <col min="15618" max="15618" width="12.5703125" style="2" customWidth="1"/>
    <col min="15619" max="15623" width="0" style="2" hidden="1" customWidth="1"/>
    <col min="15624" max="15625" width="9.7109375" style="2" customWidth="1"/>
    <col min="15626" max="15627" width="10.7109375" style="2" customWidth="1"/>
    <col min="15628" max="15629" width="10.42578125" style="2" customWidth="1"/>
    <col min="15630" max="15630" width="7.140625" style="2" customWidth="1"/>
    <col min="15631" max="15631" width="12.28515625" style="2" customWidth="1"/>
    <col min="15632" max="15633" width="7.140625" style="2" customWidth="1"/>
    <col min="15634" max="15872" width="8.85546875" style="2"/>
    <col min="15873" max="15873" width="50.28515625" style="2" customWidth="1"/>
    <col min="15874" max="15874" width="12.5703125" style="2" customWidth="1"/>
    <col min="15875" max="15879" width="0" style="2" hidden="1" customWidth="1"/>
    <col min="15880" max="15881" width="9.7109375" style="2" customWidth="1"/>
    <col min="15882" max="15883" width="10.7109375" style="2" customWidth="1"/>
    <col min="15884" max="15885" width="10.42578125" style="2" customWidth="1"/>
    <col min="15886" max="15886" width="7.140625" style="2" customWidth="1"/>
    <col min="15887" max="15887" width="12.28515625" style="2" customWidth="1"/>
    <col min="15888" max="15889" width="7.140625" style="2" customWidth="1"/>
    <col min="15890" max="16128" width="8.85546875" style="2"/>
    <col min="16129" max="16129" width="50.28515625" style="2" customWidth="1"/>
    <col min="16130" max="16130" width="12.5703125" style="2" customWidth="1"/>
    <col min="16131" max="16135" width="0" style="2" hidden="1" customWidth="1"/>
    <col min="16136" max="16137" width="9.7109375" style="2" customWidth="1"/>
    <col min="16138" max="16139" width="10.7109375" style="2" customWidth="1"/>
    <col min="16140" max="16141" width="10.42578125" style="2" customWidth="1"/>
    <col min="16142" max="16142" width="7.140625" style="2" customWidth="1"/>
    <col min="16143" max="16143" width="12.28515625" style="2" customWidth="1"/>
    <col min="16144" max="16145" width="7.140625" style="2" customWidth="1"/>
    <col min="16146" max="16384" width="8.85546875" style="2"/>
  </cols>
  <sheetData>
    <row r="1" spans="1:13" ht="35.2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31.5">
      <c r="A2" s="3" t="s">
        <v>1</v>
      </c>
      <c r="B2" s="4" t="s">
        <v>2</v>
      </c>
      <c r="C2" s="5" t="s">
        <v>3</v>
      </c>
      <c r="D2" s="6" t="s">
        <v>4</v>
      </c>
      <c r="E2" s="7" t="s">
        <v>5</v>
      </c>
      <c r="F2" s="6" t="s">
        <v>6</v>
      </c>
      <c r="G2" s="8" t="s">
        <v>7</v>
      </c>
      <c r="H2" s="8" t="s">
        <v>7</v>
      </c>
      <c r="I2" s="8"/>
      <c r="J2" s="9" t="s">
        <v>8</v>
      </c>
      <c r="K2" s="10" t="s">
        <v>9</v>
      </c>
      <c r="L2" s="11"/>
      <c r="M2" s="12"/>
    </row>
    <row r="3" spans="1:13">
      <c r="A3" s="13"/>
      <c r="B3" s="14"/>
      <c r="C3" s="15"/>
      <c r="D3" s="16"/>
      <c r="E3" s="17"/>
      <c r="F3" s="15"/>
      <c r="G3" s="3">
        <v>2011</v>
      </c>
      <c r="H3" s="18">
        <v>2012</v>
      </c>
      <c r="I3" s="3">
        <v>2013</v>
      </c>
      <c r="J3" s="18">
        <v>2014</v>
      </c>
      <c r="K3" s="4">
        <v>2015</v>
      </c>
      <c r="L3" s="4">
        <v>2016</v>
      </c>
      <c r="M3" s="4">
        <v>2017</v>
      </c>
    </row>
    <row r="4" spans="1:13">
      <c r="A4" s="19"/>
      <c r="B4" s="20"/>
      <c r="C4" s="15"/>
      <c r="D4" s="16"/>
      <c r="E4" s="17"/>
      <c r="F4" s="15"/>
      <c r="G4" s="19"/>
      <c r="H4" s="18"/>
      <c r="I4" s="19"/>
      <c r="J4" s="18"/>
      <c r="K4" s="20"/>
      <c r="L4" s="20"/>
      <c r="M4" s="20"/>
    </row>
    <row r="5" spans="1:13" ht="15">
      <c r="A5" s="21" t="s">
        <v>10</v>
      </c>
      <c r="B5" s="22"/>
      <c r="C5" s="23"/>
      <c r="D5" s="24"/>
      <c r="E5" s="24"/>
      <c r="F5" s="24"/>
      <c r="G5" s="25"/>
      <c r="H5" s="26"/>
      <c r="I5" s="26"/>
      <c r="J5" s="25"/>
      <c r="K5" s="26"/>
      <c r="L5" s="26"/>
      <c r="M5" s="25"/>
    </row>
    <row r="6" spans="1:13" ht="21.6" customHeight="1">
      <c r="A6" s="27" t="s">
        <v>11</v>
      </c>
      <c r="B6" s="28" t="s">
        <v>12</v>
      </c>
      <c r="C6" s="29">
        <v>1</v>
      </c>
      <c r="D6" s="30"/>
      <c r="E6" s="30"/>
      <c r="F6" s="30"/>
      <c r="G6" s="31">
        <v>63.08</v>
      </c>
      <c r="H6" s="32">
        <v>65.069999999999993</v>
      </c>
      <c r="I6" s="32">
        <v>65.83</v>
      </c>
      <c r="J6" s="32">
        <v>66.8</v>
      </c>
      <c r="K6" s="32">
        <f>J6+1.3</f>
        <v>68.099999999999994</v>
      </c>
      <c r="L6" s="32">
        <f>K6+1.3</f>
        <v>69.399999999999991</v>
      </c>
      <c r="M6" s="32">
        <f>L6+1.4</f>
        <v>70.8</v>
      </c>
    </row>
    <row r="7" spans="1:13" ht="15" customHeight="1">
      <c r="A7" s="27" t="s">
        <v>13</v>
      </c>
      <c r="B7" s="33" t="s">
        <v>14</v>
      </c>
      <c r="C7" s="29"/>
      <c r="D7" s="30"/>
      <c r="E7" s="30"/>
      <c r="F7" s="30"/>
      <c r="G7" s="31"/>
      <c r="H7" s="34">
        <v>102.5</v>
      </c>
      <c r="I7" s="34">
        <f>I6/H6*100</f>
        <v>101.16797295220532</v>
      </c>
      <c r="J7" s="34">
        <f>J6/I6*100</f>
        <v>101.47349232872551</v>
      </c>
      <c r="K7" s="34">
        <f>K6/J6*100</f>
        <v>101.94610778443113</v>
      </c>
      <c r="L7" s="34">
        <f>L6/K6*100</f>
        <v>101.90895741556534</v>
      </c>
      <c r="M7" s="34">
        <f>M6/L6*100</f>
        <v>102.01729106628244</v>
      </c>
    </row>
    <row r="8" spans="1:13" ht="15" customHeight="1">
      <c r="A8" s="27" t="s">
        <v>15</v>
      </c>
      <c r="B8" s="33" t="s">
        <v>14</v>
      </c>
      <c r="C8" s="29"/>
      <c r="D8" s="30"/>
      <c r="E8" s="30"/>
      <c r="F8" s="30"/>
      <c r="G8" s="31"/>
      <c r="H8" s="32"/>
      <c r="I8" s="32"/>
      <c r="J8" s="32"/>
      <c r="K8" s="32"/>
      <c r="L8" s="32"/>
      <c r="M8" s="32"/>
    </row>
    <row r="9" spans="1:13" ht="15">
      <c r="A9" s="35" t="s">
        <v>16</v>
      </c>
      <c r="B9" s="33"/>
      <c r="C9" s="29"/>
      <c r="D9" s="30"/>
      <c r="E9" s="30"/>
      <c r="F9" s="30"/>
      <c r="G9" s="36"/>
      <c r="H9" s="32"/>
      <c r="I9" s="32"/>
      <c r="J9" s="32"/>
      <c r="K9" s="32"/>
      <c r="L9" s="32"/>
      <c r="M9" s="32"/>
    </row>
    <row r="10" spans="1:13" ht="23.25" customHeight="1">
      <c r="A10" s="37" t="s">
        <v>17</v>
      </c>
      <c r="B10" s="38"/>
      <c r="C10" s="29"/>
      <c r="D10" s="30"/>
      <c r="E10" s="30"/>
      <c r="F10" s="30"/>
      <c r="G10" s="38"/>
      <c r="H10" s="39" t="s">
        <v>18</v>
      </c>
      <c r="I10" s="40"/>
      <c r="J10" s="40"/>
      <c r="K10" s="40"/>
      <c r="L10" s="40"/>
      <c r="M10" s="41"/>
    </row>
    <row r="11" spans="1:13" ht="24">
      <c r="A11" s="42" t="s">
        <v>19</v>
      </c>
      <c r="B11" s="28" t="s">
        <v>20</v>
      </c>
      <c r="C11" s="29"/>
      <c r="D11" s="30"/>
      <c r="E11" s="30"/>
      <c r="F11" s="30"/>
      <c r="G11" s="31"/>
      <c r="H11" s="32"/>
      <c r="I11" s="32"/>
      <c r="J11" s="32"/>
      <c r="K11" s="32"/>
      <c r="L11" s="32"/>
      <c r="M11" s="32"/>
    </row>
    <row r="12" spans="1:13" ht="12.75">
      <c r="A12" s="27" t="s">
        <v>13</v>
      </c>
      <c r="B12" s="33" t="s">
        <v>14</v>
      </c>
      <c r="C12" s="29"/>
      <c r="D12" s="30"/>
      <c r="E12" s="30"/>
      <c r="F12" s="30"/>
      <c r="G12" s="31"/>
      <c r="H12" s="32"/>
      <c r="I12" s="32"/>
      <c r="J12" s="32"/>
      <c r="K12" s="32"/>
      <c r="L12" s="32"/>
      <c r="M12" s="32"/>
    </row>
    <row r="13" spans="1:13" ht="12.75">
      <c r="A13" s="27" t="s">
        <v>15</v>
      </c>
      <c r="B13" s="33" t="s">
        <v>14</v>
      </c>
      <c r="C13" s="29"/>
      <c r="D13" s="30"/>
      <c r="E13" s="30"/>
      <c r="F13" s="30"/>
      <c r="G13" s="31"/>
      <c r="H13" s="32"/>
      <c r="I13" s="32"/>
      <c r="J13" s="32"/>
      <c r="K13" s="32"/>
      <c r="L13" s="32"/>
      <c r="M13" s="32"/>
    </row>
    <row r="14" spans="1:13" ht="14.25">
      <c r="A14" s="43" t="s">
        <v>21</v>
      </c>
      <c r="B14" s="33"/>
      <c r="C14" s="29"/>
      <c r="D14" s="30"/>
      <c r="E14" s="30"/>
      <c r="F14" s="30"/>
      <c r="G14" s="31"/>
      <c r="H14" s="32"/>
      <c r="I14" s="32"/>
      <c r="J14" s="32"/>
      <c r="K14" s="32"/>
      <c r="L14" s="32"/>
      <c r="M14" s="32"/>
    </row>
    <row r="15" spans="1:13" ht="29.25" customHeight="1">
      <c r="A15" s="27" t="s">
        <v>22</v>
      </c>
      <c r="B15" s="33" t="s">
        <v>23</v>
      </c>
      <c r="C15" s="29">
        <v>1</v>
      </c>
      <c r="D15" s="30"/>
      <c r="E15" s="30"/>
      <c r="F15" s="30"/>
      <c r="G15" s="31"/>
      <c r="H15" s="32"/>
      <c r="I15" s="32"/>
      <c r="J15" s="32"/>
      <c r="K15" s="32"/>
      <c r="L15" s="32"/>
      <c r="M15" s="32"/>
    </row>
    <row r="16" spans="1:13" ht="14.25">
      <c r="A16" s="43" t="s">
        <v>24</v>
      </c>
      <c r="B16" s="33"/>
      <c r="C16" s="29"/>
      <c r="D16" s="44"/>
      <c r="E16" s="44"/>
      <c r="F16" s="44"/>
      <c r="G16" s="45"/>
      <c r="H16" s="32"/>
      <c r="I16" s="32"/>
      <c r="J16" s="32"/>
      <c r="K16" s="32"/>
      <c r="L16" s="32"/>
      <c r="M16" s="32"/>
    </row>
    <row r="17" spans="1:16" ht="14.25">
      <c r="A17" s="46" t="s">
        <v>25</v>
      </c>
      <c r="B17" s="47"/>
      <c r="C17" s="29"/>
      <c r="D17" s="44"/>
      <c r="E17" s="44"/>
      <c r="F17" s="44"/>
      <c r="G17" s="48"/>
      <c r="H17" s="32"/>
      <c r="I17" s="32"/>
      <c r="J17" s="32"/>
      <c r="K17" s="32"/>
      <c r="L17" s="32"/>
      <c r="M17" s="32"/>
    </row>
    <row r="18" spans="1:16" ht="21">
      <c r="A18" s="49" t="s">
        <v>26</v>
      </c>
      <c r="B18" s="28" t="s">
        <v>20</v>
      </c>
      <c r="C18" s="29">
        <v>1</v>
      </c>
      <c r="D18" s="44"/>
      <c r="E18" s="44"/>
      <c r="F18" s="44"/>
      <c r="G18" s="31">
        <v>784.19</v>
      </c>
      <c r="H18" s="32">
        <v>819.23</v>
      </c>
      <c r="I18" s="32">
        <v>998.81</v>
      </c>
      <c r="J18" s="32">
        <f>1135598.2/1000</f>
        <v>1135.5981999999999</v>
      </c>
      <c r="K18" s="32">
        <v>1352.2</v>
      </c>
      <c r="L18" s="32">
        <v>1517.5</v>
      </c>
      <c r="M18" s="32">
        <v>1725.3</v>
      </c>
      <c r="N18" s="50"/>
      <c r="O18" s="50"/>
      <c r="P18" s="50"/>
    </row>
    <row r="19" spans="1:16" ht="12.75">
      <c r="A19" s="27" t="s">
        <v>13</v>
      </c>
      <c r="B19" s="33" t="s">
        <v>14</v>
      </c>
      <c r="C19" s="29"/>
      <c r="D19" s="44"/>
      <c r="E19" s="44"/>
      <c r="F19" s="44"/>
      <c r="G19" s="31"/>
      <c r="H19" s="51">
        <f t="shared" ref="H19:M19" si="0">H18/G18*100/H20*100</f>
        <v>101.62286466448838</v>
      </c>
      <c r="I19" s="51">
        <f t="shared" si="0"/>
        <v>156.30844097819187</v>
      </c>
      <c r="J19" s="51">
        <f t="shared" si="0"/>
        <v>116.61037660456968</v>
      </c>
      <c r="K19" s="51">
        <f t="shared" si="0"/>
        <v>112.01675090374658</v>
      </c>
      <c r="L19" s="51">
        <f t="shared" si="0"/>
        <v>107.49475383099258</v>
      </c>
      <c r="M19" s="51">
        <f t="shared" si="0"/>
        <v>107.86866694384614</v>
      </c>
    </row>
    <row r="20" spans="1:16" ht="12.75">
      <c r="A20" s="27" t="s">
        <v>15</v>
      </c>
      <c r="B20" s="33" t="s">
        <v>14</v>
      </c>
      <c r="C20" s="29"/>
      <c r="D20" s="44"/>
      <c r="E20" s="44"/>
      <c r="F20" s="44"/>
      <c r="G20" s="31"/>
      <c r="H20" s="52">
        <v>102.8</v>
      </c>
      <c r="I20" s="52">
        <v>78</v>
      </c>
      <c r="J20" s="52">
        <v>97.5</v>
      </c>
      <c r="K20" s="52">
        <v>106.3</v>
      </c>
      <c r="L20" s="52">
        <v>104.4</v>
      </c>
      <c r="M20" s="52">
        <v>105.4</v>
      </c>
      <c r="P20" s="50"/>
    </row>
    <row r="21" spans="1:16" ht="14.25">
      <c r="A21" s="43" t="s">
        <v>27</v>
      </c>
      <c r="B21" s="47"/>
      <c r="C21" s="29"/>
      <c r="D21" s="44"/>
      <c r="E21" s="44"/>
      <c r="F21" s="44"/>
      <c r="G21" s="31"/>
      <c r="H21" s="32"/>
      <c r="I21" s="32"/>
      <c r="J21" s="32"/>
      <c r="K21" s="32"/>
      <c r="L21" s="32"/>
      <c r="M21" s="32"/>
    </row>
    <row r="22" spans="1:16" ht="12.75">
      <c r="A22" s="27" t="s">
        <v>28</v>
      </c>
      <c r="B22" s="33" t="s">
        <v>29</v>
      </c>
      <c r="C22" s="29">
        <v>1</v>
      </c>
      <c r="D22" s="44"/>
      <c r="E22" s="44"/>
      <c r="F22" s="44"/>
      <c r="G22" s="31">
        <f>G26+G27</f>
        <v>1096.33</v>
      </c>
      <c r="H22" s="32">
        <f>H26+H27</f>
        <v>1114.5500000000002</v>
      </c>
      <c r="I22" s="32">
        <v>2241.13</v>
      </c>
      <c r="J22" s="32">
        <v>3044.5</v>
      </c>
      <c r="K22" s="32">
        <v>3254.2</v>
      </c>
      <c r="L22" s="32">
        <v>3674.4</v>
      </c>
      <c r="M22" s="32">
        <f>M26+M27</f>
        <v>4107</v>
      </c>
    </row>
    <row r="23" spans="1:16" ht="12.75">
      <c r="A23" s="27" t="s">
        <v>13</v>
      </c>
      <c r="B23" s="33" t="s">
        <v>14</v>
      </c>
      <c r="C23" s="29"/>
      <c r="D23" s="44"/>
      <c r="E23" s="44"/>
      <c r="F23" s="44"/>
      <c r="G23" s="31"/>
      <c r="H23" s="34">
        <f t="shared" ref="H23:M23" si="1">H22/G22*100/H24*100</f>
        <v>99.279207389654587</v>
      </c>
      <c r="I23" s="34">
        <f t="shared" si="1"/>
        <v>187.05056686763766</v>
      </c>
      <c r="J23" s="34">
        <f t="shared" si="1"/>
        <v>123.49695344434606</v>
      </c>
      <c r="K23" s="34">
        <f t="shared" si="1"/>
        <v>100.83757595664314</v>
      </c>
      <c r="L23" s="34">
        <f t="shared" si="1"/>
        <v>106.82359866562369</v>
      </c>
      <c r="M23" s="34">
        <f t="shared" si="1"/>
        <v>106.14753157753374</v>
      </c>
    </row>
    <row r="24" spans="1:16" ht="16.5" customHeight="1">
      <c r="A24" s="27" t="s">
        <v>15</v>
      </c>
      <c r="B24" s="33" t="s">
        <v>14</v>
      </c>
      <c r="C24" s="29"/>
      <c r="D24" s="44"/>
      <c r="E24" s="44"/>
      <c r="F24" s="44"/>
      <c r="G24" s="31"/>
      <c r="H24" s="34">
        <v>102.4</v>
      </c>
      <c r="I24" s="34">
        <v>107.5</v>
      </c>
      <c r="J24" s="34">
        <v>110</v>
      </c>
      <c r="K24" s="34">
        <v>106</v>
      </c>
      <c r="L24" s="34">
        <v>105.7</v>
      </c>
      <c r="M24" s="34">
        <v>105.3</v>
      </c>
    </row>
    <row r="25" spans="1:16" ht="13.5" thickBot="1">
      <c r="A25" s="49" t="s">
        <v>30</v>
      </c>
      <c r="B25" s="33"/>
      <c r="C25" s="29"/>
      <c r="D25" s="44"/>
      <c r="E25" s="44"/>
      <c r="F25" s="44"/>
      <c r="G25" s="31"/>
      <c r="H25" s="53"/>
      <c r="I25" s="53"/>
      <c r="J25" s="53"/>
      <c r="K25" s="53"/>
      <c r="L25" s="53"/>
      <c r="M25" s="53"/>
      <c r="O25" s="54"/>
    </row>
    <row r="26" spans="1:16" ht="13.5" thickBot="1">
      <c r="A26" s="55" t="s">
        <v>31</v>
      </c>
      <c r="B26" s="33" t="s">
        <v>29</v>
      </c>
      <c r="C26" s="29">
        <v>1</v>
      </c>
      <c r="D26" s="44"/>
      <c r="E26" s="44"/>
      <c r="F26" s="44"/>
      <c r="G26" s="31">
        <v>553.27</v>
      </c>
      <c r="H26" s="56">
        <v>510.85</v>
      </c>
      <c r="I26" s="56">
        <v>1347.52</v>
      </c>
      <c r="J26" s="56">
        <v>1943.3820000000001</v>
      </c>
      <c r="K26" s="56">
        <v>2122.5</v>
      </c>
      <c r="L26" s="56">
        <v>2264.9</v>
      </c>
      <c r="M26" s="56">
        <v>2558</v>
      </c>
      <c r="O26" s="54"/>
    </row>
    <row r="27" spans="1:16" ht="12.75">
      <c r="A27" s="55" t="s">
        <v>32</v>
      </c>
      <c r="B27" s="33" t="s">
        <v>29</v>
      </c>
      <c r="C27" s="29">
        <v>1</v>
      </c>
      <c r="D27" s="44"/>
      <c r="E27" s="44"/>
      <c r="F27" s="44"/>
      <c r="G27" s="31">
        <v>543.05999999999995</v>
      </c>
      <c r="H27" s="32">
        <v>603.70000000000005</v>
      </c>
      <c r="I27" s="32">
        <v>893.61</v>
      </c>
      <c r="J27" s="32">
        <v>1101.115</v>
      </c>
      <c r="K27" s="32">
        <v>1131.7</v>
      </c>
      <c r="L27" s="32">
        <v>1409</v>
      </c>
      <c r="M27" s="32">
        <v>1549</v>
      </c>
    </row>
    <row r="28" spans="1:16" ht="14.25">
      <c r="A28" s="43" t="s">
        <v>33</v>
      </c>
      <c r="B28" s="47"/>
      <c r="C28" s="29"/>
      <c r="D28" s="44"/>
      <c r="E28" s="44"/>
      <c r="F28" s="44"/>
      <c r="G28" s="31"/>
      <c r="H28" s="32"/>
      <c r="I28" s="32"/>
      <c r="J28" s="32"/>
      <c r="K28" s="32"/>
      <c r="L28" s="32"/>
      <c r="M28" s="32"/>
    </row>
    <row r="29" spans="1:16" ht="14.25">
      <c r="A29" s="43" t="s">
        <v>34</v>
      </c>
      <c r="B29" s="47"/>
      <c r="C29" s="29"/>
      <c r="D29" s="44"/>
      <c r="E29" s="44"/>
      <c r="F29" s="44"/>
      <c r="G29" s="31"/>
      <c r="H29" s="32"/>
      <c r="I29" s="32"/>
      <c r="J29" s="32"/>
      <c r="K29" s="32"/>
      <c r="L29" s="32"/>
      <c r="M29" s="32"/>
    </row>
    <row r="30" spans="1:16" ht="31.5">
      <c r="A30" s="27" t="s">
        <v>35</v>
      </c>
      <c r="B30" s="28" t="s">
        <v>36</v>
      </c>
      <c r="C30" s="29">
        <v>1</v>
      </c>
      <c r="D30" s="44"/>
      <c r="E30" s="44"/>
      <c r="F30" s="44"/>
      <c r="G30" s="57">
        <v>250.8</v>
      </c>
      <c r="H30" s="32">
        <v>250.8</v>
      </c>
      <c r="I30" s="32">
        <v>298.39999999999998</v>
      </c>
      <c r="J30" s="32">
        <v>298.39999999999998</v>
      </c>
      <c r="K30" s="32">
        <v>298.39999999999998</v>
      </c>
      <c r="L30" s="32">
        <v>298.39999999999998</v>
      </c>
      <c r="M30" s="32">
        <v>298.39999999999998</v>
      </c>
    </row>
    <row r="31" spans="1:16" ht="14.25">
      <c r="A31" s="43" t="s">
        <v>37</v>
      </c>
      <c r="B31" s="33"/>
      <c r="C31" s="29"/>
      <c r="D31" s="44"/>
      <c r="E31" s="44"/>
      <c r="F31" s="44"/>
      <c r="G31" s="31"/>
      <c r="H31" s="32"/>
      <c r="I31" s="32"/>
      <c r="J31" s="32"/>
      <c r="K31" s="32"/>
      <c r="L31" s="32"/>
      <c r="M31" s="32"/>
    </row>
    <row r="32" spans="1:16" ht="12.75">
      <c r="A32" s="58" t="s">
        <v>38</v>
      </c>
      <c r="B32" s="59"/>
      <c r="C32" s="29"/>
      <c r="D32" s="44"/>
      <c r="E32" s="44"/>
      <c r="F32" s="44"/>
      <c r="G32" s="31" t="s">
        <v>39</v>
      </c>
      <c r="H32" s="32" t="s">
        <v>39</v>
      </c>
      <c r="I32" s="32" t="s">
        <v>39</v>
      </c>
      <c r="J32" s="32" t="s">
        <v>39</v>
      </c>
      <c r="K32" s="32" t="s">
        <v>39</v>
      </c>
      <c r="L32" s="32" t="s">
        <v>39</v>
      </c>
      <c r="M32" s="32"/>
    </row>
    <row r="33" spans="1:15" ht="21.75">
      <c r="A33" s="58" t="s">
        <v>40</v>
      </c>
      <c r="B33" s="59" t="s">
        <v>41</v>
      </c>
      <c r="C33" s="29">
        <v>1</v>
      </c>
      <c r="D33" s="44"/>
      <c r="E33" s="44"/>
      <c r="F33" s="44"/>
      <c r="G33" s="31" t="s">
        <v>39</v>
      </c>
      <c r="H33" s="32" t="s">
        <v>39</v>
      </c>
      <c r="I33" s="32"/>
      <c r="J33" s="32" t="s">
        <v>39</v>
      </c>
      <c r="K33" s="32" t="s">
        <v>39</v>
      </c>
      <c r="L33" s="32" t="s">
        <v>39</v>
      </c>
      <c r="M33" s="32"/>
    </row>
    <row r="34" spans="1:15" ht="21.75">
      <c r="A34" s="58" t="s">
        <v>42</v>
      </c>
      <c r="B34" s="59" t="s">
        <v>43</v>
      </c>
      <c r="C34" s="29">
        <v>1</v>
      </c>
      <c r="D34" s="44"/>
      <c r="E34" s="44"/>
      <c r="F34" s="44"/>
      <c r="G34" s="31" t="s">
        <v>39</v>
      </c>
      <c r="H34" s="32" t="s">
        <v>39</v>
      </c>
      <c r="I34" s="32"/>
      <c r="J34" s="32" t="s">
        <v>39</v>
      </c>
      <c r="K34" s="32" t="s">
        <v>39</v>
      </c>
      <c r="L34" s="32" t="s">
        <v>39</v>
      </c>
      <c r="M34" s="32"/>
    </row>
    <row r="35" spans="1:15" ht="12.75">
      <c r="A35" s="58" t="s">
        <v>44</v>
      </c>
      <c r="B35" s="59" t="s">
        <v>41</v>
      </c>
      <c r="C35" s="29">
        <v>1</v>
      </c>
      <c r="D35" s="44"/>
      <c r="E35" s="44"/>
      <c r="F35" s="44"/>
      <c r="G35" s="31">
        <f>11/63080*10000</f>
        <v>1.7438173747622068</v>
      </c>
      <c r="H35" s="32">
        <f t="shared" ref="H35:M35" si="2">11/H6*10</f>
        <v>1.690487167665591</v>
      </c>
      <c r="I35" s="32">
        <f t="shared" si="2"/>
        <v>1.6709706820598511</v>
      </c>
      <c r="J35" s="32">
        <f>11/J6*10</f>
        <v>1.6467065868263473</v>
      </c>
      <c r="K35" s="32">
        <f>11/K6*10</f>
        <v>1.6152716593245229</v>
      </c>
      <c r="L35" s="32">
        <f t="shared" si="2"/>
        <v>1.5850144092219023</v>
      </c>
      <c r="M35" s="32">
        <f t="shared" si="2"/>
        <v>1.5536723163841808</v>
      </c>
    </row>
    <row r="36" spans="1:15" ht="14.25">
      <c r="A36" s="43" t="s">
        <v>45</v>
      </c>
      <c r="B36" s="60"/>
      <c r="C36" s="29"/>
      <c r="D36" s="44"/>
      <c r="E36" s="44"/>
      <c r="F36" s="44"/>
      <c r="G36" s="31"/>
      <c r="H36" s="32"/>
      <c r="I36" s="32"/>
      <c r="J36" s="32"/>
      <c r="K36" s="32"/>
      <c r="L36" s="32"/>
      <c r="M36" s="32"/>
    </row>
    <row r="37" spans="1:15" ht="21">
      <c r="A37" s="27" t="s">
        <v>46</v>
      </c>
      <c r="B37" s="33" t="s">
        <v>20</v>
      </c>
      <c r="C37" s="29">
        <v>1</v>
      </c>
      <c r="D37" s="44"/>
      <c r="E37" s="44"/>
      <c r="F37" s="44"/>
      <c r="G37" s="31">
        <v>1412.5</v>
      </c>
      <c r="H37" s="32">
        <v>1483.5</v>
      </c>
      <c r="I37" s="32">
        <f>1692599/1000</f>
        <v>1692.5989999999999</v>
      </c>
      <c r="J37" s="32">
        <v>2010.7</v>
      </c>
      <c r="K37" s="32">
        <v>2205.3000000000002</v>
      </c>
      <c r="L37" s="32">
        <v>2435.5</v>
      </c>
      <c r="M37" s="32">
        <v>2663</v>
      </c>
      <c r="N37" s="50"/>
      <c r="O37" s="50"/>
    </row>
    <row r="38" spans="1:15" ht="12.75">
      <c r="A38" s="27" t="s">
        <v>13</v>
      </c>
      <c r="B38" s="33" t="s">
        <v>14</v>
      </c>
      <c r="C38" s="29"/>
      <c r="D38" s="44"/>
      <c r="E38" s="44"/>
      <c r="F38" s="44"/>
      <c r="G38" s="31"/>
      <c r="H38" s="34">
        <f t="shared" ref="H38:M38" si="3">H37/G37*100/H39*100</f>
        <v>102.56498893805311</v>
      </c>
      <c r="I38" s="34">
        <f t="shared" si="3"/>
        <v>110.236693809033</v>
      </c>
      <c r="J38" s="34">
        <f t="shared" si="3"/>
        <v>115.1101184142431</v>
      </c>
      <c r="K38" s="34">
        <f t="shared" si="3"/>
        <v>106.58719292020926</v>
      </c>
      <c r="L38" s="34">
        <f t="shared" si="3"/>
        <v>106.60085819928018</v>
      </c>
      <c r="M38" s="34">
        <f t="shared" si="3"/>
        <v>106.1563084871231</v>
      </c>
      <c r="N38" s="50"/>
    </row>
    <row r="39" spans="1:15" ht="12.75">
      <c r="A39" s="27" t="s">
        <v>15</v>
      </c>
      <c r="B39" s="33" t="s">
        <v>14</v>
      </c>
      <c r="C39" s="29"/>
      <c r="D39" s="44"/>
      <c r="E39" s="44"/>
      <c r="F39" s="44"/>
      <c r="G39" s="31"/>
      <c r="H39" s="34">
        <v>102.4</v>
      </c>
      <c r="I39" s="34">
        <v>103.5</v>
      </c>
      <c r="J39" s="34">
        <v>103.2</v>
      </c>
      <c r="K39" s="34">
        <v>102.9</v>
      </c>
      <c r="L39" s="34">
        <v>103.6</v>
      </c>
      <c r="M39" s="34">
        <v>103</v>
      </c>
    </row>
    <row r="40" spans="1:15" ht="14.25">
      <c r="A40" s="37" t="s">
        <v>47</v>
      </c>
      <c r="B40" s="47"/>
      <c r="C40" s="29"/>
      <c r="D40" s="44"/>
      <c r="E40" s="44"/>
      <c r="F40" s="44"/>
      <c r="G40" s="31"/>
      <c r="H40" s="32"/>
      <c r="I40" s="32"/>
      <c r="J40" s="32"/>
      <c r="K40" s="32"/>
      <c r="L40" s="32"/>
      <c r="M40" s="32"/>
    </row>
    <row r="41" spans="1:15" ht="12.75">
      <c r="A41" s="27" t="s">
        <v>48</v>
      </c>
      <c r="B41" s="33" t="s">
        <v>49</v>
      </c>
      <c r="C41" s="29">
        <v>1</v>
      </c>
      <c r="D41" s="44"/>
      <c r="E41" s="44"/>
      <c r="F41" s="44"/>
      <c r="G41" s="31">
        <v>5372</v>
      </c>
      <c r="H41" s="32">
        <f>G41*105.4/100</f>
        <v>5662.0880000000006</v>
      </c>
      <c r="I41" s="32">
        <v>2777.4</v>
      </c>
      <c r="J41" s="32">
        <f>I41*1.06</f>
        <v>2944.0440000000003</v>
      </c>
      <c r="K41" s="32">
        <v>3740.3</v>
      </c>
      <c r="L41" s="32">
        <v>4239.5</v>
      </c>
      <c r="M41" s="32">
        <v>4680.5</v>
      </c>
    </row>
    <row r="42" spans="1:15" ht="12.75">
      <c r="A42" s="27" t="s">
        <v>13</v>
      </c>
      <c r="B42" s="33" t="s">
        <v>14</v>
      </c>
      <c r="C42" s="29"/>
      <c r="D42" s="44"/>
      <c r="E42" s="44"/>
      <c r="F42" s="44"/>
      <c r="G42" s="31"/>
      <c r="H42" s="34">
        <f t="shared" ref="H42:M42" si="4">H41/G41*100/H43*100</f>
        <v>99.810606060606062</v>
      </c>
      <c r="I42" s="34">
        <f t="shared" si="4"/>
        <v>46.539445595447745</v>
      </c>
      <c r="J42" s="34">
        <f t="shared" si="4"/>
        <v>101.14503816793894</v>
      </c>
      <c r="K42" s="34">
        <f t="shared" si="4"/>
        <v>121.57544010078536</v>
      </c>
      <c r="L42" s="34">
        <f t="shared" si="4"/>
        <v>108.88234678787316</v>
      </c>
      <c r="M42" s="34">
        <f t="shared" si="4"/>
        <v>106.15593275694701</v>
      </c>
    </row>
    <row r="43" spans="1:15" ht="12.75">
      <c r="A43" s="27" t="s">
        <v>15</v>
      </c>
      <c r="B43" s="33" t="s">
        <v>14</v>
      </c>
      <c r="C43" s="29"/>
      <c r="D43" s="44"/>
      <c r="E43" s="44"/>
      <c r="F43" s="44"/>
      <c r="G43" s="31"/>
      <c r="H43" s="34">
        <v>105.6</v>
      </c>
      <c r="I43" s="34">
        <v>105.4</v>
      </c>
      <c r="J43" s="34">
        <v>104.8</v>
      </c>
      <c r="K43" s="34">
        <v>104.5</v>
      </c>
      <c r="L43" s="34">
        <v>104.1</v>
      </c>
      <c r="M43" s="34">
        <v>104</v>
      </c>
    </row>
    <row r="44" spans="1:15" ht="14.25">
      <c r="A44" s="37" t="s">
        <v>50</v>
      </c>
      <c r="B44" s="47"/>
      <c r="C44" s="29"/>
      <c r="D44" s="44"/>
      <c r="E44" s="44"/>
      <c r="F44" s="44"/>
      <c r="G44" s="31"/>
      <c r="H44" s="32"/>
      <c r="I44" s="32"/>
      <c r="J44" s="32"/>
      <c r="K44" s="32"/>
      <c r="L44" s="32"/>
      <c r="M44" s="32"/>
    </row>
    <row r="45" spans="1:15" ht="12.75">
      <c r="A45" s="61" t="s">
        <v>51</v>
      </c>
      <c r="B45" s="33" t="s">
        <v>52</v>
      </c>
      <c r="C45" s="29">
        <v>1</v>
      </c>
      <c r="D45" s="44"/>
      <c r="E45" s="44"/>
      <c r="F45" s="44"/>
      <c r="G45" s="31" t="s">
        <v>39</v>
      </c>
      <c r="H45" s="32" t="s">
        <v>39</v>
      </c>
      <c r="I45" s="32"/>
      <c r="J45" s="32" t="s">
        <v>39</v>
      </c>
      <c r="K45" s="32" t="s">
        <v>39</v>
      </c>
      <c r="L45" s="32" t="s">
        <v>39</v>
      </c>
      <c r="M45" s="32"/>
    </row>
    <row r="46" spans="1:15" ht="12.75">
      <c r="A46" s="61" t="s">
        <v>53</v>
      </c>
      <c r="B46" s="33" t="s">
        <v>52</v>
      </c>
      <c r="C46" s="29">
        <v>1</v>
      </c>
      <c r="D46" s="44"/>
      <c r="E46" s="44"/>
      <c r="F46" s="44"/>
      <c r="G46" s="31" t="s">
        <v>39</v>
      </c>
      <c r="H46" s="32" t="s">
        <v>39</v>
      </c>
      <c r="I46" s="32"/>
      <c r="J46" s="32" t="s">
        <v>39</v>
      </c>
      <c r="K46" s="32" t="s">
        <v>39</v>
      </c>
      <c r="L46" s="32" t="s">
        <v>39</v>
      </c>
      <c r="M46" s="32"/>
    </row>
    <row r="47" spans="1:15" ht="14.25">
      <c r="A47" s="62" t="s">
        <v>54</v>
      </c>
      <c r="B47" s="63"/>
      <c r="C47" s="64"/>
      <c r="D47" s="65"/>
      <c r="E47" s="65"/>
      <c r="F47" s="65"/>
      <c r="G47" s="31"/>
      <c r="H47" s="32"/>
      <c r="I47" s="32"/>
      <c r="J47" s="32"/>
      <c r="K47" s="32"/>
      <c r="L47" s="32"/>
      <c r="M47" s="32"/>
    </row>
    <row r="48" spans="1:15" ht="12.75">
      <c r="A48" s="66" t="s">
        <v>55</v>
      </c>
      <c r="B48" s="67" t="s">
        <v>41</v>
      </c>
      <c r="C48" s="64"/>
      <c r="D48" s="65"/>
      <c r="E48" s="65"/>
      <c r="F48" s="65"/>
      <c r="G48" s="31" t="s">
        <v>39</v>
      </c>
      <c r="H48" s="32">
        <v>3</v>
      </c>
      <c r="I48" s="32">
        <v>3</v>
      </c>
      <c r="J48" s="32">
        <v>3</v>
      </c>
      <c r="K48" s="32">
        <v>3</v>
      </c>
      <c r="L48" s="32">
        <v>3</v>
      </c>
      <c r="M48" s="32">
        <v>3</v>
      </c>
    </row>
    <row r="49" spans="1:14" ht="12.75">
      <c r="A49" s="68" t="s">
        <v>56</v>
      </c>
      <c r="B49" s="67"/>
      <c r="C49" s="64"/>
      <c r="D49" s="65"/>
      <c r="E49" s="65"/>
      <c r="F49" s="65"/>
      <c r="G49" s="31" t="s">
        <v>39</v>
      </c>
      <c r="H49" s="32" t="s">
        <v>39</v>
      </c>
      <c r="I49" s="32"/>
      <c r="J49" s="32" t="s">
        <v>39</v>
      </c>
      <c r="K49" s="32" t="s">
        <v>39</v>
      </c>
      <c r="L49" s="32" t="s">
        <v>39</v>
      </c>
      <c r="M49" s="32"/>
    </row>
    <row r="50" spans="1:14" ht="12.75">
      <c r="A50" s="69" t="s">
        <v>57</v>
      </c>
      <c r="B50" s="67" t="s">
        <v>41</v>
      </c>
      <c r="C50" s="64"/>
      <c r="D50" s="65"/>
      <c r="E50" s="65"/>
      <c r="F50" s="65"/>
      <c r="G50" s="31" t="s">
        <v>39</v>
      </c>
      <c r="H50" s="32">
        <v>1</v>
      </c>
      <c r="I50" s="32">
        <v>1</v>
      </c>
      <c r="J50" s="32">
        <v>1</v>
      </c>
      <c r="K50" s="32">
        <v>1</v>
      </c>
      <c r="L50" s="32">
        <v>1</v>
      </c>
      <c r="M50" s="32">
        <v>1</v>
      </c>
    </row>
    <row r="51" spans="1:14" ht="12.75">
      <c r="A51" s="69" t="s">
        <v>58</v>
      </c>
      <c r="B51" s="67" t="s">
        <v>41</v>
      </c>
      <c r="C51" s="64"/>
      <c r="D51" s="65"/>
      <c r="E51" s="65"/>
      <c r="F51" s="65"/>
      <c r="G51" s="31" t="s">
        <v>39</v>
      </c>
      <c r="H51" s="32" t="s">
        <v>39</v>
      </c>
      <c r="I51" s="32"/>
      <c r="J51" s="32" t="s">
        <v>39</v>
      </c>
      <c r="K51" s="32" t="s">
        <v>39</v>
      </c>
      <c r="L51" s="32" t="s">
        <v>39</v>
      </c>
      <c r="M51" s="32"/>
    </row>
    <row r="52" spans="1:14" ht="12.75">
      <c r="A52" s="69" t="s">
        <v>59</v>
      </c>
      <c r="B52" s="67" t="s">
        <v>41</v>
      </c>
      <c r="C52" s="64"/>
      <c r="D52" s="65"/>
      <c r="E52" s="65"/>
      <c r="F52" s="65"/>
      <c r="G52" s="31" t="s">
        <v>39</v>
      </c>
      <c r="H52" s="32" t="s">
        <v>39</v>
      </c>
      <c r="I52" s="32"/>
      <c r="J52" s="32" t="s">
        <v>39</v>
      </c>
      <c r="K52" s="32" t="s">
        <v>39</v>
      </c>
      <c r="L52" s="32" t="s">
        <v>39</v>
      </c>
      <c r="M52" s="32"/>
    </row>
    <row r="53" spans="1:14" ht="12.75">
      <c r="A53" s="69" t="s">
        <v>60</v>
      </c>
      <c r="B53" s="67" t="s">
        <v>41</v>
      </c>
      <c r="C53" s="64"/>
      <c r="D53" s="65"/>
      <c r="E53" s="65"/>
      <c r="F53" s="65"/>
      <c r="G53" s="31" t="s">
        <v>39</v>
      </c>
      <c r="H53" s="32" t="s">
        <v>39</v>
      </c>
      <c r="I53" s="32"/>
      <c r="J53" s="32" t="s">
        <v>39</v>
      </c>
      <c r="K53" s="32" t="s">
        <v>39</v>
      </c>
      <c r="L53" s="32" t="s">
        <v>39</v>
      </c>
      <c r="M53" s="32"/>
    </row>
    <row r="54" spans="1:14" ht="31.5">
      <c r="A54" s="69" t="s">
        <v>61</v>
      </c>
      <c r="B54" s="67" t="s">
        <v>41</v>
      </c>
      <c r="C54" s="64"/>
      <c r="D54" s="65"/>
      <c r="E54" s="65"/>
      <c r="F54" s="65"/>
      <c r="G54" s="31" t="s">
        <v>39</v>
      </c>
      <c r="H54" s="32" t="s">
        <v>39</v>
      </c>
      <c r="I54" s="32"/>
      <c r="J54" s="32" t="s">
        <v>39</v>
      </c>
      <c r="K54" s="32" t="s">
        <v>39</v>
      </c>
      <c r="L54" s="32" t="s">
        <v>39</v>
      </c>
      <c r="M54" s="32"/>
    </row>
    <row r="55" spans="1:14" ht="12.75">
      <c r="A55" s="69" t="s">
        <v>62</v>
      </c>
      <c r="B55" s="67" t="s">
        <v>41</v>
      </c>
      <c r="C55" s="64"/>
      <c r="D55" s="65"/>
      <c r="E55" s="65"/>
      <c r="F55" s="65"/>
      <c r="G55" s="31" t="s">
        <v>39</v>
      </c>
      <c r="H55" s="32" t="s">
        <v>39</v>
      </c>
      <c r="I55" s="32"/>
      <c r="J55" s="32" t="s">
        <v>39</v>
      </c>
      <c r="K55" s="32" t="s">
        <v>39</v>
      </c>
      <c r="L55" s="32" t="s">
        <v>39</v>
      </c>
      <c r="M55" s="32"/>
    </row>
    <row r="56" spans="1:14" ht="21">
      <c r="A56" s="69" t="s">
        <v>63</v>
      </c>
      <c r="B56" s="67" t="s">
        <v>41</v>
      </c>
      <c r="C56" s="64"/>
      <c r="D56" s="65"/>
      <c r="E56" s="65"/>
      <c r="F56" s="65"/>
      <c r="G56" s="31" t="s">
        <v>39</v>
      </c>
      <c r="H56" s="32" t="s">
        <v>39</v>
      </c>
      <c r="I56" s="32"/>
      <c r="J56" s="32" t="s">
        <v>39</v>
      </c>
      <c r="K56" s="32" t="s">
        <v>39</v>
      </c>
      <c r="L56" s="32" t="s">
        <v>39</v>
      </c>
      <c r="M56" s="32"/>
    </row>
    <row r="57" spans="1:14" ht="12.75">
      <c r="A57" s="69" t="s">
        <v>64</v>
      </c>
      <c r="B57" s="67" t="s">
        <v>41</v>
      </c>
      <c r="C57" s="64"/>
      <c r="D57" s="65"/>
      <c r="E57" s="65"/>
      <c r="F57" s="65"/>
      <c r="G57" s="31" t="s">
        <v>39</v>
      </c>
      <c r="H57" s="32" t="s">
        <v>39</v>
      </c>
      <c r="I57" s="32"/>
      <c r="J57" s="32" t="s">
        <v>39</v>
      </c>
      <c r="K57" s="32" t="s">
        <v>39</v>
      </c>
      <c r="L57" s="32" t="s">
        <v>39</v>
      </c>
      <c r="M57" s="32"/>
      <c r="N57" s="70"/>
    </row>
    <row r="58" spans="1:14" ht="21">
      <c r="A58" s="66" t="s">
        <v>65</v>
      </c>
      <c r="B58" s="67" t="s">
        <v>41</v>
      </c>
      <c r="C58" s="29">
        <v>1</v>
      </c>
      <c r="D58" s="44"/>
      <c r="E58" s="44"/>
      <c r="F58" s="44"/>
      <c r="G58" s="71">
        <v>361</v>
      </c>
      <c r="H58" s="32">
        <f>H60+H61+H62+H63+H65+H66+H67+H68+H69+H64</f>
        <v>366.01</v>
      </c>
      <c r="I58" s="32">
        <f>I60+I61+I62+I63+I64+I65+I66+I67+I68+I69</f>
        <v>304</v>
      </c>
      <c r="J58" s="32">
        <f>J60+J61+J62+J63+J65+J66+J67+J68+J69+J64</f>
        <v>314</v>
      </c>
      <c r="K58" s="32">
        <f>K60+K61+K62+K63+K65+K66+K67+K68+K69+K64</f>
        <v>318.01</v>
      </c>
      <c r="L58" s="32">
        <f>L60+L61+L62+L63+L65+L66+L67+L68+L69+L64</f>
        <v>327.26607999999999</v>
      </c>
      <c r="M58" s="32">
        <f>M60+M61+M62+M63+M65+M66+M67+M68+M69+M64</f>
        <v>332.52420863999998</v>
      </c>
      <c r="N58" s="70"/>
    </row>
    <row r="59" spans="1:14" ht="12.75">
      <c r="A59" s="68" t="s">
        <v>56</v>
      </c>
      <c r="B59" s="67"/>
      <c r="C59" s="29"/>
      <c r="D59" s="44"/>
      <c r="E59" s="44"/>
      <c r="F59" s="44"/>
      <c r="G59" s="71"/>
      <c r="H59" s="32"/>
      <c r="I59" s="32"/>
      <c r="J59" s="32"/>
      <c r="K59" s="32"/>
      <c r="L59" s="32"/>
      <c r="M59" s="32"/>
      <c r="N59" s="70"/>
    </row>
    <row r="60" spans="1:14" ht="12.75">
      <c r="A60" s="69" t="s">
        <v>57</v>
      </c>
      <c r="B60" s="67" t="s">
        <v>41</v>
      </c>
      <c r="C60" s="29"/>
      <c r="D60" s="44"/>
      <c r="E60" s="44"/>
      <c r="F60" s="44"/>
      <c r="G60" s="71">
        <v>5</v>
      </c>
      <c r="H60" s="32">
        <v>8</v>
      </c>
      <c r="I60" s="32">
        <v>13</v>
      </c>
      <c r="J60" s="32">
        <v>13</v>
      </c>
      <c r="K60" s="32">
        <v>13</v>
      </c>
      <c r="L60" s="32">
        <v>13</v>
      </c>
      <c r="M60" s="32">
        <v>13</v>
      </c>
    </row>
    <row r="61" spans="1:14" ht="12.75">
      <c r="A61" s="69" t="s">
        <v>58</v>
      </c>
      <c r="B61" s="67" t="s">
        <v>41</v>
      </c>
      <c r="C61" s="29"/>
      <c r="D61" s="44"/>
      <c r="E61" s="44"/>
      <c r="F61" s="44"/>
      <c r="G61" s="71"/>
      <c r="H61" s="32"/>
      <c r="I61" s="32"/>
      <c r="J61" s="32"/>
      <c r="K61" s="32"/>
      <c r="L61" s="32">
        <f>K61*1.008</f>
        <v>0</v>
      </c>
      <c r="M61" s="32"/>
    </row>
    <row r="62" spans="1:14" ht="12.75">
      <c r="A62" s="69" t="s">
        <v>59</v>
      </c>
      <c r="B62" s="67" t="s">
        <v>41</v>
      </c>
      <c r="C62" s="29">
        <v>1</v>
      </c>
      <c r="D62" s="44"/>
      <c r="E62" s="44"/>
      <c r="F62" s="44"/>
      <c r="G62" s="71">
        <v>5</v>
      </c>
      <c r="H62" s="32">
        <v>5</v>
      </c>
      <c r="I62" s="32">
        <v>5</v>
      </c>
      <c r="J62" s="32">
        <v>5</v>
      </c>
      <c r="K62" s="32">
        <v>5</v>
      </c>
      <c r="L62" s="32">
        <f>K62*1.008</f>
        <v>5.04</v>
      </c>
      <c r="M62" s="32">
        <f>L62*1.008</f>
        <v>5.0803200000000004</v>
      </c>
    </row>
    <row r="63" spans="1:14" ht="12.75">
      <c r="A63" s="69" t="s">
        <v>60</v>
      </c>
      <c r="B63" s="38"/>
      <c r="C63" s="29">
        <v>1</v>
      </c>
      <c r="D63" s="44"/>
      <c r="E63" s="44"/>
      <c r="F63" s="44"/>
      <c r="G63" s="71">
        <v>30</v>
      </c>
      <c r="H63" s="32">
        <v>26</v>
      </c>
      <c r="I63" s="32">
        <v>26</v>
      </c>
      <c r="J63" s="32">
        <v>26</v>
      </c>
      <c r="K63" s="32">
        <v>26</v>
      </c>
      <c r="L63" s="32">
        <f>K63*1.008</f>
        <v>26.207999999999998</v>
      </c>
      <c r="M63" s="32">
        <f>L63*1.008</f>
        <v>26.417663999999998</v>
      </c>
    </row>
    <row r="64" spans="1:14" ht="12.75">
      <c r="A64" s="69" t="s">
        <v>66</v>
      </c>
      <c r="B64" s="67" t="s">
        <v>41</v>
      </c>
      <c r="C64" s="29"/>
      <c r="D64" s="44"/>
      <c r="E64" s="44"/>
      <c r="F64" s="44"/>
      <c r="G64" s="71"/>
      <c r="H64" s="32">
        <v>56</v>
      </c>
      <c r="I64" s="32">
        <v>56</v>
      </c>
      <c r="J64" s="32">
        <v>56</v>
      </c>
      <c r="K64" s="32">
        <v>56</v>
      </c>
      <c r="L64" s="32">
        <v>56</v>
      </c>
      <c r="M64" s="32">
        <v>56</v>
      </c>
    </row>
    <row r="65" spans="1:13" ht="31.5">
      <c r="A65" s="69" t="s">
        <v>61</v>
      </c>
      <c r="B65" s="67" t="s">
        <v>41</v>
      </c>
      <c r="C65" s="29"/>
      <c r="D65" s="44"/>
      <c r="E65" s="44"/>
      <c r="F65" s="44"/>
      <c r="G65" s="71">
        <v>120</v>
      </c>
      <c r="H65" s="32">
        <v>81</v>
      </c>
      <c r="I65" s="32">
        <v>69</v>
      </c>
      <c r="J65" s="32">
        <v>69</v>
      </c>
      <c r="K65" s="32">
        <v>71</v>
      </c>
      <c r="L65" s="32">
        <v>79</v>
      </c>
      <c r="M65" s="32">
        <v>79</v>
      </c>
    </row>
    <row r="66" spans="1:13" ht="12.75">
      <c r="A66" s="69" t="s">
        <v>62</v>
      </c>
      <c r="B66" s="67" t="s">
        <v>41</v>
      </c>
      <c r="C66" s="29">
        <v>1</v>
      </c>
      <c r="D66" s="44"/>
      <c r="E66" s="44"/>
      <c r="F66" s="44"/>
      <c r="G66" s="71">
        <v>1</v>
      </c>
      <c r="H66" s="32">
        <f>G66*1.01</f>
        <v>1.01</v>
      </c>
      <c r="I66" s="32">
        <v>1</v>
      </c>
      <c r="J66" s="32">
        <v>1</v>
      </c>
      <c r="K66" s="32">
        <f>J66*1.01</f>
        <v>1.01</v>
      </c>
      <c r="L66" s="32">
        <f>K66*1.008</f>
        <v>1.0180800000000001</v>
      </c>
      <c r="M66" s="32">
        <f>L66*1.008</f>
        <v>1.0262246400000001</v>
      </c>
    </row>
    <row r="67" spans="1:13" ht="21">
      <c r="A67" s="69" t="s">
        <v>63</v>
      </c>
      <c r="B67" s="67" t="s">
        <v>41</v>
      </c>
      <c r="C67" s="29">
        <v>1</v>
      </c>
      <c r="D67" s="44"/>
      <c r="E67" s="44"/>
      <c r="F67" s="44"/>
      <c r="G67" s="71"/>
      <c r="H67" s="32"/>
      <c r="I67" s="32"/>
      <c r="J67" s="32"/>
      <c r="K67" s="32"/>
      <c r="L67" s="32"/>
      <c r="M67" s="32"/>
    </row>
    <row r="68" spans="1:13" ht="12.75">
      <c r="A68" s="69" t="s">
        <v>64</v>
      </c>
      <c r="B68" s="67" t="s">
        <v>41</v>
      </c>
      <c r="C68" s="29">
        <v>1</v>
      </c>
      <c r="D68" s="44"/>
      <c r="E68" s="44"/>
      <c r="F68" s="44"/>
      <c r="G68" s="71"/>
      <c r="H68" s="32"/>
      <c r="I68" s="32"/>
      <c r="J68" s="32"/>
      <c r="K68" s="32"/>
      <c r="L68" s="32"/>
      <c r="M68" s="32"/>
    </row>
    <row r="69" spans="1:13" ht="12.75">
      <c r="A69" s="69" t="s">
        <v>67</v>
      </c>
      <c r="B69" s="67"/>
      <c r="C69" s="29"/>
      <c r="D69" s="44"/>
      <c r="E69" s="44"/>
      <c r="F69" s="44"/>
      <c r="G69" s="71">
        <f>G58-G60-G61-G62-G63-G65-G66</f>
        <v>200</v>
      </c>
      <c r="H69" s="32">
        <v>189</v>
      </c>
      <c r="I69" s="32">
        <v>134</v>
      </c>
      <c r="J69" s="32">
        <v>144</v>
      </c>
      <c r="K69" s="32">
        <v>146</v>
      </c>
      <c r="L69" s="32">
        <v>147</v>
      </c>
      <c r="M69" s="32">
        <v>152</v>
      </c>
    </row>
    <row r="70" spans="1:13" ht="31.5">
      <c r="A70" s="66" t="s">
        <v>68</v>
      </c>
      <c r="B70" s="67" t="s">
        <v>12</v>
      </c>
      <c r="C70" s="29">
        <v>1</v>
      </c>
      <c r="D70" s="44"/>
      <c r="E70" s="44"/>
      <c r="F70" s="44"/>
      <c r="G70" s="31">
        <v>1291</v>
      </c>
      <c r="H70" s="32">
        <f>1.246+2.559</f>
        <v>3.8050000000000002</v>
      </c>
      <c r="I70" s="32">
        <f>1.08+2.16</f>
        <v>3.24</v>
      </c>
      <c r="J70" s="32">
        <f>1.054+2.419</f>
        <v>3.4729999999999999</v>
      </c>
      <c r="K70" s="32">
        <v>3.488</v>
      </c>
      <c r="L70" s="32">
        <v>3.6</v>
      </c>
      <c r="M70" s="32">
        <v>3.65</v>
      </c>
    </row>
    <row r="71" spans="1:13" ht="12.75">
      <c r="A71" s="66" t="s">
        <v>69</v>
      </c>
      <c r="B71" s="67" t="s">
        <v>20</v>
      </c>
      <c r="C71" s="29"/>
      <c r="D71" s="44"/>
      <c r="E71" s="44"/>
      <c r="F71" s="44"/>
      <c r="G71" s="31" t="s">
        <v>39</v>
      </c>
      <c r="H71" s="32" t="s">
        <v>39</v>
      </c>
      <c r="I71" s="32"/>
      <c r="J71" s="32" t="s">
        <v>39</v>
      </c>
      <c r="K71" s="32" t="s">
        <v>39</v>
      </c>
      <c r="L71" s="32" t="s">
        <v>39</v>
      </c>
      <c r="M71" s="32"/>
    </row>
    <row r="72" spans="1:13" ht="12.75">
      <c r="A72" s="68" t="s">
        <v>70</v>
      </c>
      <c r="B72" s="67"/>
      <c r="C72" s="29"/>
      <c r="D72" s="44"/>
      <c r="E72" s="44"/>
      <c r="F72" s="44"/>
      <c r="G72" s="31" t="s">
        <v>39</v>
      </c>
      <c r="H72" s="32" t="s">
        <v>39</v>
      </c>
      <c r="I72" s="32"/>
      <c r="J72" s="32" t="s">
        <v>39</v>
      </c>
      <c r="K72" s="32" t="s">
        <v>39</v>
      </c>
      <c r="L72" s="32" t="s">
        <v>39</v>
      </c>
      <c r="M72" s="32"/>
    </row>
    <row r="73" spans="1:13" ht="12.75">
      <c r="A73" s="69" t="s">
        <v>57</v>
      </c>
      <c r="B73" s="67" t="s">
        <v>20</v>
      </c>
      <c r="C73" s="29"/>
      <c r="D73" s="44"/>
      <c r="E73" s="44"/>
      <c r="F73" s="44"/>
      <c r="G73" s="31" t="s">
        <v>39</v>
      </c>
      <c r="H73" s="32">
        <v>431</v>
      </c>
      <c r="I73" s="32">
        <v>429</v>
      </c>
      <c r="J73" s="32">
        <v>429</v>
      </c>
      <c r="K73" s="32">
        <v>429</v>
      </c>
      <c r="L73" s="32">
        <v>429</v>
      </c>
      <c r="M73" s="32">
        <v>429</v>
      </c>
    </row>
    <row r="74" spans="1:13" ht="12.75">
      <c r="A74" s="69" t="s">
        <v>58</v>
      </c>
      <c r="B74" s="67" t="s">
        <v>20</v>
      </c>
      <c r="C74" s="29"/>
      <c r="D74" s="44"/>
      <c r="E74" s="44"/>
      <c r="F74" s="44"/>
      <c r="G74" s="31" t="s">
        <v>39</v>
      </c>
      <c r="H74" s="32">
        <v>20</v>
      </c>
      <c r="I74" s="32">
        <v>20</v>
      </c>
      <c r="J74" s="32">
        <v>20</v>
      </c>
      <c r="K74" s="32">
        <v>20</v>
      </c>
      <c r="L74" s="32">
        <v>20</v>
      </c>
      <c r="M74" s="32">
        <v>20</v>
      </c>
    </row>
    <row r="75" spans="1:13" ht="12.75">
      <c r="A75" s="69" t="s">
        <v>59</v>
      </c>
      <c r="B75" s="67" t="s">
        <v>20</v>
      </c>
      <c r="C75" s="29"/>
      <c r="D75" s="44"/>
      <c r="E75" s="44"/>
      <c r="F75" s="44"/>
      <c r="G75" s="31" t="s">
        <v>39</v>
      </c>
      <c r="H75" s="32">
        <v>67</v>
      </c>
      <c r="I75" s="32">
        <v>67</v>
      </c>
      <c r="J75" s="32">
        <v>67</v>
      </c>
      <c r="K75" s="32">
        <v>67</v>
      </c>
      <c r="L75" s="32">
        <v>67</v>
      </c>
      <c r="M75" s="32">
        <v>67</v>
      </c>
    </row>
    <row r="76" spans="1:13" ht="12.75">
      <c r="A76" s="69" t="s">
        <v>60</v>
      </c>
      <c r="B76" s="67" t="s">
        <v>20</v>
      </c>
      <c r="C76" s="29"/>
      <c r="D76" s="44"/>
      <c r="E76" s="44"/>
      <c r="F76" s="44"/>
      <c r="G76" s="31" t="s">
        <v>39</v>
      </c>
      <c r="H76" s="32">
        <v>164</v>
      </c>
      <c r="I76" s="32">
        <v>161</v>
      </c>
      <c r="J76" s="32">
        <v>172</v>
      </c>
      <c r="K76" s="32">
        <v>174</v>
      </c>
      <c r="L76" s="32">
        <v>177</v>
      </c>
      <c r="M76" s="32">
        <v>179</v>
      </c>
    </row>
    <row r="77" spans="1:13" ht="31.5">
      <c r="A77" s="69" t="s">
        <v>61</v>
      </c>
      <c r="B77" s="67" t="s">
        <v>20</v>
      </c>
      <c r="C77" s="29"/>
      <c r="D77" s="44"/>
      <c r="E77" s="44"/>
      <c r="F77" s="44"/>
      <c r="G77" s="31" t="s">
        <v>39</v>
      </c>
      <c r="H77" s="32">
        <v>421</v>
      </c>
      <c r="I77" s="32">
        <v>407</v>
      </c>
      <c r="J77" s="32">
        <v>423</v>
      </c>
      <c r="K77" s="32">
        <v>427</v>
      </c>
      <c r="L77" s="32">
        <v>433</v>
      </c>
      <c r="M77" s="32">
        <v>447</v>
      </c>
    </row>
    <row r="78" spans="1:13" ht="12.75">
      <c r="A78" s="69" t="s">
        <v>62</v>
      </c>
      <c r="B78" s="67" t="s">
        <v>20</v>
      </c>
      <c r="C78" s="29"/>
      <c r="D78" s="44"/>
      <c r="E78" s="44"/>
      <c r="F78" s="44"/>
      <c r="G78" s="31" t="s">
        <v>39</v>
      </c>
      <c r="H78" s="32" t="s">
        <v>39</v>
      </c>
      <c r="I78" s="32"/>
      <c r="J78" s="32" t="s">
        <v>39</v>
      </c>
      <c r="K78" s="32" t="s">
        <v>39</v>
      </c>
      <c r="L78" s="32" t="s">
        <v>39</v>
      </c>
      <c r="M78" s="32"/>
    </row>
    <row r="79" spans="1:13" ht="21">
      <c r="A79" s="69" t="s">
        <v>71</v>
      </c>
      <c r="B79" s="67" t="s">
        <v>20</v>
      </c>
      <c r="C79" s="29"/>
      <c r="D79" s="44"/>
      <c r="E79" s="44"/>
      <c r="F79" s="44"/>
      <c r="G79" s="31" t="s">
        <v>39</v>
      </c>
      <c r="H79" s="32" t="s">
        <v>39</v>
      </c>
      <c r="I79" s="32"/>
      <c r="J79" s="32" t="s">
        <v>39</v>
      </c>
      <c r="K79" s="32" t="s">
        <v>39</v>
      </c>
      <c r="L79" s="32" t="s">
        <v>39</v>
      </c>
      <c r="M79" s="32"/>
    </row>
    <row r="80" spans="1:13" ht="12.75">
      <c r="A80" s="72" t="s">
        <v>30</v>
      </c>
      <c r="B80" s="67"/>
      <c r="C80" s="29"/>
      <c r="D80" s="44"/>
      <c r="E80" s="44"/>
      <c r="F80" s="44"/>
      <c r="G80" s="31" t="s">
        <v>39</v>
      </c>
      <c r="H80" s="32" t="s">
        <v>39</v>
      </c>
      <c r="I80" s="32"/>
      <c r="J80" s="32" t="s">
        <v>39</v>
      </c>
      <c r="K80" s="32" t="s">
        <v>39</v>
      </c>
      <c r="L80" s="32" t="s">
        <v>39</v>
      </c>
      <c r="M80" s="32"/>
    </row>
    <row r="81" spans="1:16" ht="12.75">
      <c r="A81" s="69" t="s">
        <v>72</v>
      </c>
      <c r="B81" s="67" t="s">
        <v>20</v>
      </c>
      <c r="C81" s="29"/>
      <c r="D81" s="44"/>
      <c r="E81" s="44"/>
      <c r="F81" s="44"/>
      <c r="G81" s="31" t="s">
        <v>39</v>
      </c>
      <c r="H81" s="32" t="s">
        <v>39</v>
      </c>
      <c r="I81" s="32"/>
      <c r="J81" s="32" t="s">
        <v>39</v>
      </c>
      <c r="K81" s="32" t="s">
        <v>39</v>
      </c>
      <c r="L81" s="32" t="s">
        <v>39</v>
      </c>
      <c r="M81" s="32"/>
    </row>
    <row r="82" spans="1:16" ht="35.25" customHeight="1">
      <c r="A82" s="66" t="s">
        <v>73</v>
      </c>
      <c r="B82" s="67" t="s">
        <v>20</v>
      </c>
      <c r="C82" s="29"/>
      <c r="D82" s="44"/>
      <c r="E82" s="44"/>
      <c r="F82" s="44"/>
      <c r="G82" s="31" t="e">
        <f>G84+G85+G86+G87+G88+G89+#REF!+#REF!</f>
        <v>#REF!</v>
      </c>
      <c r="H82" s="32">
        <f>H84+H85+H86+H87+H88+H89</f>
        <v>1650.9298627899998</v>
      </c>
      <c r="I82" s="32">
        <v>1891.9</v>
      </c>
      <c r="J82" s="32">
        <f>I82*1.01</f>
        <v>1910.8190000000002</v>
      </c>
      <c r="K82" s="32">
        <v>2100.1999999999998</v>
      </c>
      <c r="L82" s="32">
        <v>2375</v>
      </c>
      <c r="M82" s="32">
        <f>L82*1.05</f>
        <v>2493.75</v>
      </c>
    </row>
    <row r="83" spans="1:16" ht="14.25" customHeight="1">
      <c r="A83" s="68" t="s">
        <v>70</v>
      </c>
      <c r="B83" s="67"/>
      <c r="C83" s="29"/>
      <c r="D83" s="44"/>
      <c r="E83" s="44"/>
      <c r="F83" s="44"/>
      <c r="G83" s="31"/>
      <c r="H83" s="32"/>
      <c r="I83" s="32"/>
      <c r="J83" s="32"/>
      <c r="K83" s="32"/>
      <c r="L83" s="32"/>
      <c r="M83" s="32"/>
    </row>
    <row r="84" spans="1:16" ht="14.25" customHeight="1">
      <c r="A84" s="69" t="s">
        <v>57</v>
      </c>
      <c r="B84" s="67" t="s">
        <v>20</v>
      </c>
      <c r="C84" s="29"/>
      <c r="D84" s="44"/>
      <c r="E84" s="44"/>
      <c r="F84" s="44"/>
      <c r="G84" s="57">
        <v>155.63999999999999</v>
      </c>
      <c r="H84" s="32">
        <f>G84*113.4/100</f>
        <v>176.49576000000002</v>
      </c>
      <c r="I84" s="32">
        <v>341.1</v>
      </c>
      <c r="J84" s="32">
        <v>341.09</v>
      </c>
      <c r="K84" s="32">
        <v>245</v>
      </c>
      <c r="L84" s="32">
        <v>297</v>
      </c>
      <c r="M84" s="32">
        <v>297</v>
      </c>
    </row>
    <row r="85" spans="1:16" ht="14.25" customHeight="1">
      <c r="A85" s="69" t="s">
        <v>58</v>
      </c>
      <c r="B85" s="67" t="s">
        <v>20</v>
      </c>
      <c r="C85" s="29"/>
      <c r="D85" s="44"/>
      <c r="E85" s="44"/>
      <c r="F85" s="44"/>
      <c r="G85" s="31">
        <v>31.25</v>
      </c>
      <c r="H85" s="32">
        <f>G85*105.3/100</f>
        <v>32.90625</v>
      </c>
      <c r="I85" s="32">
        <v>218.4</v>
      </c>
      <c r="J85" s="32">
        <v>218.4</v>
      </c>
      <c r="K85" s="32">
        <v>37.299999999999997</v>
      </c>
      <c r="L85" s="32">
        <v>45</v>
      </c>
      <c r="M85" s="32">
        <v>45</v>
      </c>
    </row>
    <row r="86" spans="1:16" ht="14.25" customHeight="1">
      <c r="A86" s="69" t="s">
        <v>59</v>
      </c>
      <c r="B86" s="67" t="s">
        <v>20</v>
      </c>
      <c r="C86" s="29"/>
      <c r="D86" s="44"/>
      <c r="E86" s="44"/>
      <c r="F86" s="44"/>
      <c r="G86" s="31">
        <v>517.47</v>
      </c>
      <c r="H86" s="32">
        <f>G86*92.3/100</f>
        <v>477.62481000000002</v>
      </c>
      <c r="I86" s="32">
        <v>387.39</v>
      </c>
      <c r="J86" s="32">
        <v>439.3</v>
      </c>
      <c r="K86" s="32">
        <v>560</v>
      </c>
      <c r="L86" s="32">
        <f>K86*112/100</f>
        <v>627.20000000000005</v>
      </c>
      <c r="M86" s="32">
        <f>L86*112/100</f>
        <v>702.46400000000006</v>
      </c>
    </row>
    <row r="87" spans="1:16" ht="14.25" customHeight="1">
      <c r="A87" s="69" t="s">
        <v>60</v>
      </c>
      <c r="B87" s="67" t="s">
        <v>20</v>
      </c>
      <c r="C87" s="29"/>
      <c r="D87" s="44"/>
      <c r="E87" s="44"/>
      <c r="F87" s="44"/>
      <c r="G87" s="31">
        <v>593.11</v>
      </c>
      <c r="H87" s="32">
        <f>G87*112.3*104.3/10000</f>
        <v>694.70321878999994</v>
      </c>
      <c r="I87" s="32">
        <v>537</v>
      </c>
      <c r="J87" s="32">
        <v>870</v>
      </c>
      <c r="K87" s="32">
        <v>1030</v>
      </c>
      <c r="L87" s="32">
        <v>1109</v>
      </c>
      <c r="M87" s="32">
        <v>1109</v>
      </c>
    </row>
    <row r="88" spans="1:16" ht="35.25" customHeight="1">
      <c r="A88" s="69" t="s">
        <v>61</v>
      </c>
      <c r="B88" s="67" t="s">
        <v>20</v>
      </c>
      <c r="C88" s="29"/>
      <c r="D88" s="44"/>
      <c r="E88" s="44"/>
      <c r="F88" s="44"/>
      <c r="G88" s="31">
        <v>239.35</v>
      </c>
      <c r="H88" s="32">
        <f>G88*106.5*105.6/10000</f>
        <v>269.18258399999996</v>
      </c>
      <c r="I88" s="32">
        <v>240</v>
      </c>
      <c r="J88" s="32">
        <v>240</v>
      </c>
      <c r="K88" s="32">
        <v>280</v>
      </c>
      <c r="L88" s="32">
        <v>306</v>
      </c>
      <c r="M88" s="32">
        <v>306</v>
      </c>
    </row>
    <row r="89" spans="1:16" ht="23.25" customHeight="1">
      <c r="A89" s="69" t="s">
        <v>62</v>
      </c>
      <c r="B89" s="67" t="s">
        <v>20</v>
      </c>
      <c r="C89" s="29"/>
      <c r="D89" s="44"/>
      <c r="E89" s="44"/>
      <c r="F89" s="44"/>
      <c r="G89" s="31">
        <f>20/1000</f>
        <v>0.02</v>
      </c>
      <c r="H89" s="32">
        <f>G89*86.2/100</f>
        <v>1.7240000000000002E-2</v>
      </c>
      <c r="I89" s="32">
        <f>H89*86.2/100</f>
        <v>1.4860880000000003E-2</v>
      </c>
      <c r="J89" s="32">
        <f>I89*86.2/100</f>
        <v>1.2810078560000004E-2</v>
      </c>
      <c r="K89" s="32">
        <v>3.1</v>
      </c>
      <c r="L89" s="32">
        <v>4.5999999999999996</v>
      </c>
      <c r="M89" s="32">
        <v>4.5999999999999996</v>
      </c>
    </row>
    <row r="90" spans="1:16" ht="23.25" customHeight="1">
      <c r="A90" s="69" t="s">
        <v>71</v>
      </c>
      <c r="B90" s="67" t="s">
        <v>20</v>
      </c>
      <c r="C90" s="29"/>
      <c r="D90" s="44"/>
      <c r="E90" s="44"/>
      <c r="F90" s="44"/>
      <c r="G90" s="31" t="s">
        <v>39</v>
      </c>
      <c r="H90" s="32" t="s">
        <v>39</v>
      </c>
      <c r="I90" s="32" t="s">
        <v>39</v>
      </c>
      <c r="J90" s="32" t="s">
        <v>39</v>
      </c>
      <c r="K90" s="32" t="s">
        <v>39</v>
      </c>
      <c r="L90" s="32" t="s">
        <v>39</v>
      </c>
      <c r="M90" s="32"/>
    </row>
    <row r="91" spans="1:16" ht="35.25" customHeight="1">
      <c r="A91" s="37" t="s">
        <v>74</v>
      </c>
      <c r="B91" s="28"/>
      <c r="C91" s="29"/>
      <c r="D91" s="44"/>
      <c r="E91" s="44"/>
      <c r="F91" s="44"/>
      <c r="G91" s="31"/>
      <c r="H91" s="32"/>
      <c r="I91" s="32"/>
      <c r="J91" s="32"/>
      <c r="K91" s="32"/>
      <c r="L91" s="32"/>
      <c r="M91" s="32"/>
    </row>
    <row r="92" spans="1:16" ht="21">
      <c r="A92" s="73" t="s">
        <v>75</v>
      </c>
      <c r="B92" s="74" t="s">
        <v>20</v>
      </c>
      <c r="C92" s="29">
        <v>1</v>
      </c>
      <c r="D92" s="44"/>
      <c r="E92" s="44"/>
      <c r="F92" s="44"/>
      <c r="G92" s="31">
        <v>5135.8</v>
      </c>
      <c r="H92" s="32">
        <f>H101+H104+H110+H111+H95</f>
        <v>2347.38</v>
      </c>
      <c r="I92" s="32">
        <v>2972.8</v>
      </c>
      <c r="J92" s="32">
        <v>3334.4</v>
      </c>
      <c r="K92" s="32">
        <v>3782.5</v>
      </c>
      <c r="L92" s="32">
        <v>4291.8999999999996</v>
      </c>
      <c r="M92" s="32">
        <v>4859</v>
      </c>
    </row>
    <row r="93" spans="1:16" ht="12.75">
      <c r="A93" s="27" t="s">
        <v>13</v>
      </c>
      <c r="B93" s="33" t="s">
        <v>14</v>
      </c>
      <c r="C93" s="29"/>
      <c r="D93" s="44"/>
      <c r="E93" s="44"/>
      <c r="F93" s="44"/>
      <c r="G93" s="31"/>
      <c r="H93" s="34">
        <f t="shared" ref="H93:M93" si="5">H92/G92*100/H94*100</f>
        <v>44.504595023883553</v>
      </c>
      <c r="I93" s="34">
        <f t="shared" si="5"/>
        <v>118.57988903590115</v>
      </c>
      <c r="J93" s="34">
        <f t="shared" si="5"/>
        <v>103.37660533847901</v>
      </c>
      <c r="K93" s="34">
        <f t="shared" si="5"/>
        <v>107.32138090456276</v>
      </c>
      <c r="L93" s="34">
        <f t="shared" si="5"/>
        <v>107.75620469385613</v>
      </c>
      <c r="M93" s="34">
        <f t="shared" si="5"/>
        <v>107.92494012542437</v>
      </c>
    </row>
    <row r="94" spans="1:16" ht="12.75">
      <c r="A94" s="27" t="s">
        <v>15</v>
      </c>
      <c r="B94" s="33" t="s">
        <v>14</v>
      </c>
      <c r="C94" s="29"/>
      <c r="D94" s="44"/>
      <c r="E94" s="44"/>
      <c r="F94" s="44"/>
      <c r="G94" s="31"/>
      <c r="H94" s="34">
        <v>102.7</v>
      </c>
      <c r="I94" s="34">
        <v>106.8</v>
      </c>
      <c r="J94" s="34">
        <v>108.5</v>
      </c>
      <c r="K94" s="34">
        <v>105.7</v>
      </c>
      <c r="L94" s="34">
        <v>105.3</v>
      </c>
      <c r="M94" s="34">
        <v>104.9</v>
      </c>
    </row>
    <row r="95" spans="1:16" ht="21">
      <c r="A95" s="49" t="s">
        <v>76</v>
      </c>
      <c r="B95" s="74" t="s">
        <v>49</v>
      </c>
      <c r="C95" s="29">
        <v>1</v>
      </c>
      <c r="D95" s="44"/>
      <c r="E95" s="44"/>
      <c r="F95" s="44"/>
      <c r="G95" s="31">
        <v>556.29999999999995</v>
      </c>
      <c r="H95" s="32">
        <v>125.8</v>
      </c>
      <c r="I95" s="32">
        <v>37.64</v>
      </c>
      <c r="J95" s="32">
        <v>37.64</v>
      </c>
      <c r="K95" s="32">
        <v>37.64</v>
      </c>
      <c r="L95" s="32">
        <v>37.64</v>
      </c>
      <c r="M95" s="32">
        <v>37.64</v>
      </c>
      <c r="N95" s="50"/>
      <c r="O95" s="50"/>
      <c r="P95" s="50"/>
    </row>
    <row r="96" spans="1:16" ht="12.75">
      <c r="A96" s="49" t="s">
        <v>77</v>
      </c>
      <c r="B96" s="28"/>
      <c r="C96" s="29"/>
      <c r="D96" s="44"/>
      <c r="E96" s="44"/>
      <c r="F96" s="44"/>
      <c r="G96" s="31"/>
      <c r="H96" s="32"/>
      <c r="I96" s="32"/>
      <c r="J96" s="32"/>
      <c r="K96" s="32"/>
      <c r="L96" s="32"/>
      <c r="M96" s="32"/>
    </row>
    <row r="97" spans="1:14" ht="12.75">
      <c r="A97" s="75" t="s">
        <v>78</v>
      </c>
      <c r="B97" s="74" t="s">
        <v>49</v>
      </c>
      <c r="C97" s="29">
        <v>1</v>
      </c>
      <c r="D97" s="44"/>
      <c r="E97" s="44"/>
      <c r="F97" s="44"/>
      <c r="G97" s="31"/>
      <c r="H97" s="32"/>
      <c r="I97" s="32"/>
      <c r="J97" s="32"/>
      <c r="K97" s="32"/>
      <c r="L97" s="32"/>
      <c r="M97" s="32"/>
    </row>
    <row r="98" spans="1:14" ht="12.75">
      <c r="A98" s="75" t="s">
        <v>79</v>
      </c>
      <c r="B98" s="74" t="s">
        <v>49</v>
      </c>
      <c r="C98" s="29">
        <v>1</v>
      </c>
      <c r="D98" s="44"/>
      <c r="E98" s="44"/>
      <c r="F98" s="44"/>
      <c r="G98" s="31"/>
      <c r="H98" s="32"/>
      <c r="I98" s="32"/>
      <c r="J98" s="32">
        <v>37.6</v>
      </c>
      <c r="K98" s="32">
        <v>38.700000000000003</v>
      </c>
      <c r="L98" s="32">
        <v>38.81</v>
      </c>
      <c r="M98" s="32">
        <v>39.5</v>
      </c>
    </row>
    <row r="99" spans="1:14" ht="21">
      <c r="A99" s="49" t="s">
        <v>80</v>
      </c>
      <c r="B99" s="74" t="s">
        <v>49</v>
      </c>
      <c r="C99" s="29">
        <v>1</v>
      </c>
      <c r="D99" s="44"/>
      <c r="E99" s="44"/>
      <c r="F99" s="44"/>
      <c r="G99" s="31">
        <f>G101+G104+G110</f>
        <v>4569.4400000000005</v>
      </c>
      <c r="H99" s="32">
        <v>2347.3000000000002</v>
      </c>
      <c r="I99" s="32">
        <f>I101+I104+I110+I111</f>
        <v>1698.6</v>
      </c>
      <c r="J99" s="32">
        <f>J101+J104+J110+J111</f>
        <v>1736.7</v>
      </c>
      <c r="K99" s="32">
        <f>K101+K104+K110+K111</f>
        <v>1747.7</v>
      </c>
      <c r="L99" s="32">
        <f>L101+L104+L110+L111</f>
        <v>1759.7</v>
      </c>
      <c r="M99" s="32">
        <f>M101+M104+M110+M111</f>
        <v>1775.7</v>
      </c>
      <c r="N99" s="76"/>
    </row>
    <row r="100" spans="1:14" ht="12.75">
      <c r="A100" s="49" t="s">
        <v>77</v>
      </c>
      <c r="B100" s="28"/>
      <c r="C100" s="29"/>
      <c r="D100" s="44"/>
      <c r="E100" s="44"/>
      <c r="F100" s="44"/>
      <c r="G100" s="31"/>
      <c r="H100" s="32"/>
      <c r="I100" s="32"/>
      <c r="J100" s="32"/>
      <c r="K100" s="32"/>
      <c r="L100" s="32"/>
      <c r="M100" s="32"/>
    </row>
    <row r="101" spans="1:14" ht="12.75">
      <c r="A101" s="75" t="s">
        <v>81</v>
      </c>
      <c r="B101" s="74" t="s">
        <v>49</v>
      </c>
      <c r="C101" s="29">
        <v>1</v>
      </c>
      <c r="D101" s="44"/>
      <c r="E101" s="44"/>
      <c r="F101" s="44"/>
      <c r="G101" s="31">
        <v>219.57</v>
      </c>
      <c r="H101" s="32">
        <v>200.43</v>
      </c>
      <c r="I101" s="32">
        <v>34.173000000000002</v>
      </c>
      <c r="J101" s="32">
        <v>47</v>
      </c>
      <c r="K101" s="32">
        <v>47</v>
      </c>
      <c r="L101" s="32">
        <v>47</v>
      </c>
      <c r="M101" s="32">
        <v>47</v>
      </c>
    </row>
    <row r="102" spans="1:14" ht="14.25" customHeight="1">
      <c r="A102" s="77" t="s">
        <v>82</v>
      </c>
      <c r="B102" s="74" t="s">
        <v>49</v>
      </c>
      <c r="C102" s="29">
        <v>1</v>
      </c>
      <c r="D102" s="44"/>
      <c r="E102" s="44"/>
      <c r="F102" s="44"/>
      <c r="G102" s="31"/>
      <c r="H102" s="32"/>
      <c r="I102" s="32"/>
      <c r="J102" s="32"/>
      <c r="K102" s="32"/>
      <c r="L102" s="32"/>
      <c r="M102" s="32"/>
    </row>
    <row r="103" spans="1:14" ht="12.75">
      <c r="A103" s="75" t="s">
        <v>83</v>
      </c>
      <c r="B103" s="74" t="s">
        <v>49</v>
      </c>
      <c r="C103" s="29">
        <v>1</v>
      </c>
      <c r="D103" s="44"/>
      <c r="E103" s="44"/>
      <c r="F103" s="44"/>
      <c r="G103" s="31"/>
      <c r="H103" s="32"/>
      <c r="I103" s="32"/>
      <c r="J103" s="32"/>
      <c r="K103" s="32"/>
      <c r="L103" s="32"/>
      <c r="M103" s="32"/>
    </row>
    <row r="104" spans="1:14" ht="12.75">
      <c r="A104" s="75" t="s">
        <v>84</v>
      </c>
      <c r="B104" s="74" t="s">
        <v>49</v>
      </c>
      <c r="C104" s="29">
        <v>1</v>
      </c>
      <c r="D104" s="44"/>
      <c r="E104" s="44"/>
      <c r="F104" s="44"/>
      <c r="G104" s="31">
        <f t="shared" ref="G104:M104" si="6">G106+G108+G109</f>
        <v>1543.18</v>
      </c>
      <c r="H104" s="32">
        <f t="shared" si="6"/>
        <v>1463.15</v>
      </c>
      <c r="I104" s="32">
        <f t="shared" si="6"/>
        <v>1116.6869999999999</v>
      </c>
      <c r="J104" s="32">
        <f>J106+J108+J109</f>
        <v>1043</v>
      </c>
      <c r="K104" s="32">
        <f>K106+K108+K109</f>
        <v>1054</v>
      </c>
      <c r="L104" s="32">
        <f t="shared" si="6"/>
        <v>1066</v>
      </c>
      <c r="M104" s="32">
        <f t="shared" si="6"/>
        <v>1082</v>
      </c>
    </row>
    <row r="105" spans="1:14" ht="12.75">
      <c r="A105" s="75" t="s">
        <v>30</v>
      </c>
      <c r="B105" s="28"/>
      <c r="C105" s="29"/>
      <c r="D105" s="44"/>
      <c r="E105" s="44"/>
      <c r="F105" s="44"/>
      <c r="G105" s="31"/>
      <c r="H105" s="32"/>
      <c r="I105" s="32"/>
      <c r="J105" s="32"/>
      <c r="K105" s="32"/>
      <c r="L105" s="32"/>
      <c r="M105" s="32"/>
    </row>
    <row r="106" spans="1:14" ht="12.75">
      <c r="A106" s="77" t="s">
        <v>85</v>
      </c>
      <c r="B106" s="74" t="s">
        <v>49</v>
      </c>
      <c r="C106" s="29">
        <v>1</v>
      </c>
      <c r="D106" s="44"/>
      <c r="E106" s="44"/>
      <c r="F106" s="44"/>
      <c r="G106" s="31">
        <v>1443.8</v>
      </c>
      <c r="H106" s="32">
        <v>1185.3900000000001</v>
      </c>
      <c r="I106" s="32">
        <v>930.21699999999998</v>
      </c>
      <c r="J106" s="32">
        <v>760</v>
      </c>
      <c r="K106" s="32">
        <v>763</v>
      </c>
      <c r="L106" s="32">
        <v>766</v>
      </c>
      <c r="M106" s="32">
        <v>780</v>
      </c>
      <c r="N106" s="50"/>
    </row>
    <row r="107" spans="1:14" ht="21">
      <c r="A107" s="78" t="s">
        <v>86</v>
      </c>
      <c r="B107" s="74" t="s">
        <v>49</v>
      </c>
      <c r="C107" s="29">
        <v>1</v>
      </c>
      <c r="D107" s="44"/>
      <c r="E107" s="44"/>
      <c r="F107" s="44"/>
      <c r="G107" s="31"/>
      <c r="H107" s="32"/>
      <c r="I107" s="32"/>
      <c r="J107" s="32"/>
      <c r="K107" s="32"/>
      <c r="L107" s="32"/>
      <c r="M107" s="32"/>
      <c r="N107" s="50"/>
    </row>
    <row r="108" spans="1:14" ht="12.75">
      <c r="A108" s="77" t="s">
        <v>87</v>
      </c>
      <c r="B108" s="74" t="s">
        <v>49</v>
      </c>
      <c r="C108" s="29">
        <v>1</v>
      </c>
      <c r="D108" s="44"/>
      <c r="E108" s="44"/>
      <c r="F108" s="44"/>
      <c r="G108" s="31">
        <v>64.209999999999994</v>
      </c>
      <c r="H108" s="32">
        <v>258.45999999999998</v>
      </c>
      <c r="I108" s="32">
        <v>182.47</v>
      </c>
      <c r="J108" s="32">
        <f>283-J109</f>
        <v>256.38</v>
      </c>
      <c r="K108" s="32">
        <v>264</v>
      </c>
      <c r="L108" s="32">
        <v>285</v>
      </c>
      <c r="M108" s="32">
        <v>289</v>
      </c>
    </row>
    <row r="109" spans="1:14" ht="12.75">
      <c r="A109" s="75" t="s">
        <v>88</v>
      </c>
      <c r="B109" s="74" t="s">
        <v>49</v>
      </c>
      <c r="C109" s="29">
        <v>1</v>
      </c>
      <c r="D109" s="44"/>
      <c r="E109" s="44"/>
      <c r="F109" s="44"/>
      <c r="G109" s="31">
        <v>35.17</v>
      </c>
      <c r="H109" s="32">
        <v>19.3</v>
      </c>
      <c r="I109" s="32">
        <v>4</v>
      </c>
      <c r="J109" s="32">
        <f>22.8+1.62+2.2</f>
        <v>26.62</v>
      </c>
      <c r="K109" s="32">
        <v>27</v>
      </c>
      <c r="L109" s="32">
        <v>15</v>
      </c>
      <c r="M109" s="32">
        <v>13</v>
      </c>
    </row>
    <row r="110" spans="1:14" ht="12.75">
      <c r="A110" s="75" t="s">
        <v>89</v>
      </c>
      <c r="B110" s="74" t="s">
        <v>49</v>
      </c>
      <c r="C110" s="29">
        <v>1</v>
      </c>
      <c r="D110" s="44"/>
      <c r="E110" s="44"/>
      <c r="F110" s="44"/>
      <c r="G110" s="31">
        <f>447.39+2359.3</f>
        <v>2806.69</v>
      </c>
      <c r="H110" s="32">
        <v>90.3</v>
      </c>
      <c r="I110" s="32">
        <v>132.78</v>
      </c>
      <c r="J110" s="32">
        <v>137.69999999999999</v>
      </c>
      <c r="K110" s="32">
        <v>137.69999999999999</v>
      </c>
      <c r="L110" s="32">
        <v>137.69999999999999</v>
      </c>
      <c r="M110" s="32">
        <v>137.69999999999999</v>
      </c>
    </row>
    <row r="111" spans="1:14" ht="12.75">
      <c r="A111" s="75" t="s">
        <v>90</v>
      </c>
      <c r="B111" s="74" t="s">
        <v>49</v>
      </c>
      <c r="C111" s="29">
        <v>1</v>
      </c>
      <c r="D111" s="44"/>
      <c r="E111" s="44"/>
      <c r="F111" s="44"/>
      <c r="G111" s="31"/>
      <c r="H111" s="32">
        <v>467.7</v>
      </c>
      <c r="I111" s="32">
        <v>414.96</v>
      </c>
      <c r="J111" s="32">
        <f>'[1]Объем инвестиций'!$C$6/1000</f>
        <v>509</v>
      </c>
      <c r="K111" s="32">
        <f>'[1]Объем инвестиций'!$C$6/1000</f>
        <v>509</v>
      </c>
      <c r="L111" s="32">
        <f>'[1]Объем инвестиций'!$C$6/1000</f>
        <v>509</v>
      </c>
      <c r="M111" s="32">
        <f>'[1]Объем инвестиций'!$C$6/1000</f>
        <v>509</v>
      </c>
    </row>
    <row r="112" spans="1:14" ht="14.25">
      <c r="A112" s="37" t="s">
        <v>91</v>
      </c>
      <c r="B112" s="28"/>
      <c r="C112" s="29"/>
      <c r="D112" s="44"/>
      <c r="E112" s="44"/>
      <c r="F112" s="44"/>
      <c r="G112" s="31"/>
      <c r="H112" s="32"/>
      <c r="I112" s="32"/>
      <c r="J112" s="32"/>
      <c r="K112" s="32"/>
      <c r="L112" s="32"/>
      <c r="M112" s="32"/>
    </row>
    <row r="113" spans="1:16" ht="12.75">
      <c r="A113" s="27" t="s">
        <v>92</v>
      </c>
      <c r="B113" s="28" t="s">
        <v>93</v>
      </c>
      <c r="C113" s="29">
        <v>1</v>
      </c>
      <c r="D113" s="44"/>
      <c r="E113" s="44"/>
      <c r="F113" s="44"/>
      <c r="G113" s="31">
        <v>110</v>
      </c>
      <c r="H113" s="32">
        <v>298</v>
      </c>
      <c r="I113" s="32">
        <v>178.2</v>
      </c>
      <c r="J113" s="32">
        <v>186</v>
      </c>
      <c r="K113" s="32">
        <v>194</v>
      </c>
      <c r="L113" s="32">
        <v>203</v>
      </c>
      <c r="M113" s="32">
        <v>203</v>
      </c>
    </row>
    <row r="114" spans="1:16" ht="12.75">
      <c r="A114" s="27" t="s">
        <v>94</v>
      </c>
      <c r="B114" s="28" t="s">
        <v>93</v>
      </c>
      <c r="C114" s="29">
        <v>1</v>
      </c>
      <c r="D114" s="44"/>
      <c r="E114" s="44"/>
      <c r="F114" s="44"/>
      <c r="G114" s="31">
        <v>438</v>
      </c>
      <c r="H114" s="32">
        <v>1214.4000000000001</v>
      </c>
      <c r="I114" s="32">
        <v>972.9</v>
      </c>
      <c r="J114" s="32">
        <v>972.9</v>
      </c>
      <c r="K114" s="32">
        <v>1023</v>
      </c>
      <c r="L114" s="32">
        <v>1081</v>
      </c>
      <c r="M114" s="32">
        <v>1081</v>
      </c>
    </row>
    <row r="115" spans="1:16" ht="22.5">
      <c r="A115" s="27" t="s">
        <v>95</v>
      </c>
      <c r="B115" s="79" t="s">
        <v>96</v>
      </c>
      <c r="C115" s="29">
        <v>1</v>
      </c>
      <c r="D115" s="44"/>
      <c r="E115" s="44"/>
      <c r="F115" s="44"/>
      <c r="G115" s="31">
        <v>18.04</v>
      </c>
      <c r="H115" s="32">
        <v>18.86</v>
      </c>
      <c r="I115" s="32">
        <v>20.6</v>
      </c>
      <c r="J115" s="32">
        <v>20.6</v>
      </c>
      <c r="K115" s="32">
        <v>20.6</v>
      </c>
      <c r="L115" s="32">
        <v>20.6</v>
      </c>
      <c r="M115" s="32">
        <v>20.6</v>
      </c>
    </row>
    <row r="116" spans="1:16" ht="14.25">
      <c r="A116" s="80" t="s">
        <v>97</v>
      </c>
      <c r="B116" s="28"/>
      <c r="C116" s="29"/>
      <c r="D116" s="44"/>
      <c r="E116" s="44"/>
      <c r="F116" s="44"/>
      <c r="G116" s="31"/>
      <c r="H116" s="32"/>
      <c r="I116" s="32"/>
      <c r="J116" s="32"/>
      <c r="K116" s="32"/>
      <c r="L116" s="32"/>
      <c r="M116" s="32"/>
    </row>
    <row r="117" spans="1:16" ht="12.75">
      <c r="A117" s="81" t="s">
        <v>98</v>
      </c>
      <c r="B117" s="28" t="s">
        <v>93</v>
      </c>
      <c r="C117" s="29"/>
      <c r="D117" s="44"/>
      <c r="E117" s="44"/>
      <c r="F117" s="44"/>
      <c r="G117" s="31">
        <v>597.36099999999999</v>
      </c>
      <c r="H117" s="32">
        <f>H118+H134+H139</f>
        <v>540.62</v>
      </c>
      <c r="I117" s="32">
        <f>I118+I134+I139</f>
        <v>758.60540000000003</v>
      </c>
      <c r="J117" s="32">
        <f>J118+J134+K139</f>
        <v>695.33569999999997</v>
      </c>
      <c r="K117" s="32">
        <f>K118+K134+K139</f>
        <v>689.36169999999993</v>
      </c>
      <c r="L117" s="32">
        <f>L118+L134+L139</f>
        <v>717.67</v>
      </c>
      <c r="M117" s="32">
        <f>M118+M134+M139</f>
        <v>686.83999999999992</v>
      </c>
    </row>
    <row r="118" spans="1:16" ht="12.75">
      <c r="A118" s="27" t="s">
        <v>99</v>
      </c>
      <c r="B118" s="28" t="s">
        <v>93</v>
      </c>
      <c r="C118" s="29">
        <v>1</v>
      </c>
      <c r="D118" s="44"/>
      <c r="E118" s="44"/>
      <c r="F118" s="44"/>
      <c r="G118" s="31">
        <v>45.615000000000002</v>
      </c>
      <c r="H118" s="32">
        <f>H120+H121+H127+H133</f>
        <v>33.128</v>
      </c>
      <c r="I118" s="32">
        <f>I120+I121+I127+I133</f>
        <v>43.401000000000003</v>
      </c>
      <c r="J118" s="32">
        <f>J120+J121+J126+J127+J133+J130</f>
        <v>92.199999999999989</v>
      </c>
      <c r="K118" s="32">
        <f>K120+K121+K126+K127+K133+K130</f>
        <v>104.916</v>
      </c>
      <c r="L118" s="82">
        <v>90.52</v>
      </c>
      <c r="M118" s="82">
        <v>90.52</v>
      </c>
      <c r="N118" s="50"/>
      <c r="O118" s="50"/>
      <c r="P118" s="76"/>
    </row>
    <row r="119" spans="1:16" ht="12.75">
      <c r="A119" s="27" t="s">
        <v>100</v>
      </c>
      <c r="B119" s="28" t="s">
        <v>93</v>
      </c>
      <c r="C119" s="29">
        <v>1</v>
      </c>
      <c r="D119" s="44"/>
      <c r="E119" s="44"/>
      <c r="F119" s="44"/>
      <c r="G119" s="31">
        <v>26.427</v>
      </c>
      <c r="H119" s="32"/>
      <c r="I119" s="32"/>
      <c r="J119" s="32"/>
      <c r="K119" s="82"/>
      <c r="L119" s="82"/>
      <c r="M119" s="82"/>
    </row>
    <row r="120" spans="1:16" ht="12.75">
      <c r="A120" s="27" t="s">
        <v>101</v>
      </c>
      <c r="B120" s="28" t="s">
        <v>93</v>
      </c>
      <c r="C120" s="29">
        <v>1</v>
      </c>
      <c r="D120" s="44"/>
      <c r="E120" s="44"/>
      <c r="F120" s="44"/>
      <c r="G120" s="31">
        <v>26.427</v>
      </c>
      <c r="H120" s="32">
        <v>23.03</v>
      </c>
      <c r="I120" s="32">
        <v>30.425999999999998</v>
      </c>
      <c r="J120" s="32">
        <v>54.1</v>
      </c>
      <c r="K120" s="82">
        <v>52.68</v>
      </c>
      <c r="L120" s="82">
        <v>53</v>
      </c>
      <c r="M120" s="82"/>
    </row>
    <row r="121" spans="1:16" ht="12.75">
      <c r="A121" s="27" t="s">
        <v>102</v>
      </c>
      <c r="B121" s="28" t="s">
        <v>93</v>
      </c>
      <c r="C121" s="29">
        <v>1</v>
      </c>
      <c r="D121" s="44"/>
      <c r="E121" s="44"/>
      <c r="F121" s="44"/>
      <c r="G121" s="31">
        <v>7.6130000000000004</v>
      </c>
      <c r="H121" s="32">
        <f>H122+H124</f>
        <v>6.97</v>
      </c>
      <c r="I121" s="32">
        <f>I122+I124</f>
        <v>10.61</v>
      </c>
      <c r="J121" s="32">
        <v>14.6</v>
      </c>
      <c r="K121" s="32">
        <f>K122+K124</f>
        <v>14.7</v>
      </c>
      <c r="L121" s="32">
        <f>L122+L124</f>
        <v>14.8</v>
      </c>
      <c r="M121" s="32">
        <f>M122+M124</f>
        <v>14.8</v>
      </c>
      <c r="N121" s="76"/>
    </row>
    <row r="122" spans="1:16" ht="12.75">
      <c r="A122" s="27" t="s">
        <v>103</v>
      </c>
      <c r="B122" s="28" t="s">
        <v>93</v>
      </c>
      <c r="C122" s="29"/>
      <c r="D122" s="44"/>
      <c r="E122" s="44"/>
      <c r="F122" s="44"/>
      <c r="G122" s="31">
        <v>1.7030000000000001</v>
      </c>
      <c r="H122" s="32">
        <v>2.2999999999999998</v>
      </c>
      <c r="I122" s="32">
        <v>3.85</v>
      </c>
      <c r="J122" s="32">
        <v>4.17</v>
      </c>
      <c r="K122" s="82">
        <v>4.2</v>
      </c>
      <c r="L122" s="82">
        <v>4.3</v>
      </c>
      <c r="M122" s="82">
        <v>4.3</v>
      </c>
    </row>
    <row r="123" spans="1:16" ht="12.75">
      <c r="A123" s="27" t="s">
        <v>104</v>
      </c>
      <c r="B123" s="28" t="s">
        <v>93</v>
      </c>
      <c r="C123" s="29">
        <v>1</v>
      </c>
      <c r="D123" s="44"/>
      <c r="E123" s="44"/>
      <c r="F123" s="44"/>
      <c r="G123" s="31">
        <v>1.01</v>
      </c>
      <c r="H123" s="32"/>
      <c r="I123" s="32"/>
      <c r="J123" s="32"/>
      <c r="K123" s="82"/>
      <c r="L123" s="82"/>
      <c r="M123" s="82"/>
    </row>
    <row r="124" spans="1:16" ht="12.75">
      <c r="A124" s="27" t="s">
        <v>105</v>
      </c>
      <c r="B124" s="28" t="s">
        <v>93</v>
      </c>
      <c r="C124" s="29"/>
      <c r="D124" s="44"/>
      <c r="E124" s="44"/>
      <c r="F124" s="44"/>
      <c r="G124" s="31">
        <v>4.9000000000000004</v>
      </c>
      <c r="H124" s="32">
        <v>4.67</v>
      </c>
      <c r="I124" s="32">
        <v>6.76</v>
      </c>
      <c r="J124" s="32">
        <v>10.48</v>
      </c>
      <c r="K124" s="82">
        <v>10.5</v>
      </c>
      <c r="L124" s="82">
        <v>10.5</v>
      </c>
      <c r="M124" s="82">
        <v>10.5</v>
      </c>
    </row>
    <row r="125" spans="1:16" ht="21">
      <c r="A125" s="27" t="s">
        <v>106</v>
      </c>
      <c r="B125" s="28" t="s">
        <v>93</v>
      </c>
      <c r="C125" s="29">
        <v>1</v>
      </c>
      <c r="D125" s="44"/>
      <c r="E125" s="44"/>
      <c r="F125" s="44"/>
      <c r="G125" s="31"/>
      <c r="H125" s="32">
        <f>324/1000</f>
        <v>0.32400000000000001</v>
      </c>
      <c r="I125" s="32"/>
      <c r="J125" s="32"/>
      <c r="K125" s="82"/>
      <c r="L125" s="82"/>
      <c r="M125" s="82"/>
    </row>
    <row r="126" spans="1:16" ht="21">
      <c r="A126" s="27" t="s">
        <v>107</v>
      </c>
      <c r="B126" s="28" t="s">
        <v>93</v>
      </c>
      <c r="C126" s="29">
        <v>1</v>
      </c>
      <c r="D126" s="44"/>
      <c r="E126" s="44"/>
      <c r="F126" s="44"/>
      <c r="G126" s="31"/>
      <c r="H126" s="32"/>
      <c r="I126" s="32"/>
      <c r="J126" s="32">
        <v>19</v>
      </c>
      <c r="K126" s="82">
        <v>25.32</v>
      </c>
      <c r="L126" s="82">
        <v>25.3</v>
      </c>
      <c r="M126" s="82">
        <v>25.3</v>
      </c>
    </row>
    <row r="127" spans="1:16" ht="12.75">
      <c r="A127" s="27" t="s">
        <v>108</v>
      </c>
      <c r="B127" s="28" t="s">
        <v>93</v>
      </c>
      <c r="C127" s="29">
        <v>1</v>
      </c>
      <c r="D127" s="44"/>
      <c r="E127" s="44"/>
      <c r="F127" s="44"/>
      <c r="G127" s="31">
        <v>7.032</v>
      </c>
      <c r="H127" s="32">
        <f>H128+H130</f>
        <v>2.5579999999999998</v>
      </c>
      <c r="I127" s="32">
        <f>I128+I130</f>
        <v>1.7430000000000001</v>
      </c>
      <c r="J127" s="32">
        <f>J128+J130</f>
        <v>2.3199999999999998</v>
      </c>
      <c r="K127" s="32">
        <f>K128+K130</f>
        <v>3.3680000000000003</v>
      </c>
      <c r="L127" s="82">
        <v>3.5</v>
      </c>
      <c r="M127" s="82">
        <v>3.5</v>
      </c>
    </row>
    <row r="128" spans="1:16" ht="21">
      <c r="A128" s="27" t="s">
        <v>109</v>
      </c>
      <c r="B128" s="28" t="s">
        <v>93</v>
      </c>
      <c r="C128" s="29">
        <v>1</v>
      </c>
      <c r="D128" s="44"/>
      <c r="E128" s="44"/>
      <c r="F128" s="44"/>
      <c r="G128" s="31">
        <v>1.6759999999999999</v>
      </c>
      <c r="H128" s="32">
        <v>2.29</v>
      </c>
      <c r="I128" s="32">
        <v>1.4470000000000001</v>
      </c>
      <c r="J128" s="32">
        <v>1.99</v>
      </c>
      <c r="K128" s="82">
        <v>3.2</v>
      </c>
      <c r="L128" s="82"/>
      <c r="M128" s="82"/>
    </row>
    <row r="129" spans="1:15" ht="21">
      <c r="A129" s="27" t="s">
        <v>110</v>
      </c>
      <c r="B129" s="28" t="s">
        <v>93</v>
      </c>
      <c r="C129" s="29">
        <v>1</v>
      </c>
      <c r="D129" s="44"/>
      <c r="E129" s="44"/>
      <c r="F129" s="44"/>
      <c r="G129" s="31">
        <v>4.2990000000000004</v>
      </c>
      <c r="H129" s="32"/>
      <c r="I129" s="32"/>
      <c r="J129" s="32"/>
      <c r="K129" s="82"/>
      <c r="L129" s="82"/>
      <c r="M129" s="82"/>
    </row>
    <row r="130" spans="1:15" ht="12.75">
      <c r="A130" s="27" t="s">
        <v>111</v>
      </c>
      <c r="B130" s="28" t="s">
        <v>93</v>
      </c>
      <c r="C130" s="29"/>
      <c r="D130" s="44"/>
      <c r="E130" s="44"/>
      <c r="F130" s="44"/>
      <c r="G130" s="31">
        <v>1.0569999999999999</v>
      </c>
      <c r="H130" s="32">
        <v>0.26800000000000002</v>
      </c>
      <c r="I130" s="32">
        <v>0.29599999999999999</v>
      </c>
      <c r="J130" s="32">
        <v>0.33</v>
      </c>
      <c r="K130" s="82">
        <v>0.16800000000000001</v>
      </c>
      <c r="L130" s="82">
        <v>0.2</v>
      </c>
      <c r="M130" s="82">
        <v>0.2</v>
      </c>
      <c r="O130" s="76"/>
    </row>
    <row r="131" spans="1:15" ht="21">
      <c r="A131" s="27" t="s">
        <v>112</v>
      </c>
      <c r="B131" s="28" t="s">
        <v>93</v>
      </c>
      <c r="C131" s="29">
        <v>1</v>
      </c>
      <c r="D131" s="44"/>
      <c r="E131" s="44"/>
      <c r="F131" s="44"/>
      <c r="G131" s="31">
        <v>0.124</v>
      </c>
      <c r="H131" s="32"/>
      <c r="I131" s="32"/>
      <c r="J131" s="32"/>
      <c r="K131" s="82"/>
      <c r="L131" s="82"/>
      <c r="M131" s="82"/>
    </row>
    <row r="132" spans="1:15" ht="12.75">
      <c r="A132" s="27" t="s">
        <v>113</v>
      </c>
      <c r="B132" s="28" t="s">
        <v>93</v>
      </c>
      <c r="C132" s="29">
        <v>1</v>
      </c>
      <c r="D132" s="44"/>
      <c r="E132" s="44"/>
      <c r="F132" s="44"/>
      <c r="G132" s="31"/>
      <c r="H132" s="32"/>
      <c r="I132" s="32"/>
      <c r="J132" s="32"/>
      <c r="K132" s="82"/>
      <c r="L132" s="82"/>
      <c r="M132" s="82"/>
    </row>
    <row r="133" spans="1:15" ht="12.75">
      <c r="A133" s="27" t="s">
        <v>114</v>
      </c>
      <c r="B133" s="28" t="s">
        <v>93</v>
      </c>
      <c r="C133" s="29">
        <v>1</v>
      </c>
      <c r="D133" s="44"/>
      <c r="E133" s="44"/>
      <c r="F133" s="44"/>
      <c r="G133" s="31">
        <v>4.4189999999999996</v>
      </c>
      <c r="H133" s="32">
        <v>0.56999999999999995</v>
      </c>
      <c r="I133" s="32">
        <v>0.622</v>
      </c>
      <c r="J133" s="32">
        <v>1.85</v>
      </c>
      <c r="K133" s="82">
        <v>8.68</v>
      </c>
      <c r="L133" s="82"/>
      <c r="M133" s="82">
        <f>90.22-78.17</f>
        <v>12.049999999999997</v>
      </c>
      <c r="N133" s="76"/>
    </row>
    <row r="134" spans="1:15" ht="12.75">
      <c r="A134" s="81" t="s">
        <v>115</v>
      </c>
      <c r="B134" s="28" t="s">
        <v>93</v>
      </c>
      <c r="C134" s="29">
        <v>1</v>
      </c>
      <c r="D134" s="44"/>
      <c r="E134" s="44"/>
      <c r="F134" s="44"/>
      <c r="G134" s="31">
        <v>8.8320000000000007</v>
      </c>
      <c r="H134" s="32">
        <f>H135+H137+H138</f>
        <v>19.434999999999999</v>
      </c>
      <c r="I134" s="32">
        <f>I135+I137+I138</f>
        <v>21.402699999999999</v>
      </c>
      <c r="J134" s="32">
        <f>J135+J138</f>
        <v>18.689999999999998</v>
      </c>
      <c r="K134" s="82"/>
      <c r="L134" s="82"/>
      <c r="M134" s="82"/>
      <c r="N134" s="76"/>
      <c r="O134" s="50"/>
    </row>
    <row r="135" spans="1:15" ht="21">
      <c r="A135" s="27" t="s">
        <v>116</v>
      </c>
      <c r="B135" s="28" t="s">
        <v>93</v>
      </c>
      <c r="C135" s="29">
        <v>1</v>
      </c>
      <c r="D135" s="44"/>
      <c r="E135" s="44"/>
      <c r="F135" s="44"/>
      <c r="G135" s="31">
        <v>2.8450000000000002</v>
      </c>
      <c r="H135" s="32">
        <v>3.92</v>
      </c>
      <c r="I135" s="32">
        <v>6.4660000000000002</v>
      </c>
      <c r="J135" s="32">
        <v>7.16</v>
      </c>
      <c r="K135" s="82"/>
      <c r="L135" s="82"/>
      <c r="M135" s="82"/>
    </row>
    <row r="136" spans="1:15" ht="12.75">
      <c r="A136" s="27" t="s">
        <v>117</v>
      </c>
      <c r="B136" s="28" t="s">
        <v>93</v>
      </c>
      <c r="C136" s="29">
        <v>1</v>
      </c>
      <c r="D136" s="44"/>
      <c r="E136" s="44"/>
      <c r="F136" s="44"/>
      <c r="G136" s="31">
        <v>2.8450000000000002</v>
      </c>
      <c r="H136" s="32">
        <v>3.9</v>
      </c>
      <c r="I136" s="32">
        <v>6.4660000000000002</v>
      </c>
      <c r="J136" s="32">
        <v>7.16</v>
      </c>
      <c r="K136" s="82"/>
      <c r="L136" s="82"/>
      <c r="M136" s="82"/>
    </row>
    <row r="137" spans="1:15" ht="12.75">
      <c r="A137" s="27" t="s">
        <v>118</v>
      </c>
      <c r="B137" s="28" t="s">
        <v>93</v>
      </c>
      <c r="C137" s="29">
        <v>1</v>
      </c>
      <c r="D137" s="44"/>
      <c r="E137" s="44"/>
      <c r="F137" s="44"/>
      <c r="G137" s="31">
        <v>0.29599999999999999</v>
      </c>
      <c r="H137" s="32">
        <f>435/1000</f>
        <v>0.435</v>
      </c>
      <c r="I137" s="32">
        <f>9.7/1000</f>
        <v>9.6999999999999986E-3</v>
      </c>
      <c r="J137" s="32"/>
      <c r="K137" s="82"/>
      <c r="L137" s="82"/>
      <c r="M137" s="82"/>
    </row>
    <row r="138" spans="1:15" ht="12.75">
      <c r="A138" s="27" t="s">
        <v>119</v>
      </c>
      <c r="B138" s="28" t="s">
        <v>93</v>
      </c>
      <c r="C138" s="29">
        <v>1</v>
      </c>
      <c r="D138" s="44"/>
      <c r="E138" s="44"/>
      <c r="F138" s="44"/>
      <c r="G138" s="31">
        <v>50.691000000000003</v>
      </c>
      <c r="H138" s="32">
        <v>15.08</v>
      </c>
      <c r="I138" s="32">
        <v>14.927</v>
      </c>
      <c r="J138" s="32">
        <v>11.53</v>
      </c>
      <c r="K138" s="82"/>
      <c r="L138" s="82"/>
      <c r="M138" s="82"/>
    </row>
    <row r="139" spans="1:15" ht="12.75">
      <c r="A139" s="81" t="s">
        <v>120</v>
      </c>
      <c r="B139" s="28" t="s">
        <v>93</v>
      </c>
      <c r="C139" s="29">
        <v>1</v>
      </c>
      <c r="D139" s="44"/>
      <c r="E139" s="44"/>
      <c r="F139" s="44"/>
      <c r="G139" s="31">
        <v>542.91399999999999</v>
      </c>
      <c r="H139" s="32">
        <f>H140+H141+H142+H143+H144</f>
        <v>488.05700000000002</v>
      </c>
      <c r="I139" s="32">
        <f>I140+I141+I142+I143+I144</f>
        <v>693.80169999999998</v>
      </c>
      <c r="J139" s="38"/>
      <c r="K139" s="32">
        <f>K140+K141+K143+K144+K142</f>
        <v>584.44569999999999</v>
      </c>
      <c r="L139" s="32">
        <f>L140+L141+L143+L144+L142</f>
        <v>627.15</v>
      </c>
      <c r="M139" s="32">
        <f>M140+M141+M143+M144+M142</f>
        <v>596.31999999999994</v>
      </c>
      <c r="N139" s="76"/>
      <c r="O139" s="76"/>
    </row>
    <row r="140" spans="1:15" ht="31.5" customHeight="1">
      <c r="A140" s="27" t="s">
        <v>121</v>
      </c>
      <c r="B140" s="28" t="s">
        <v>93</v>
      </c>
      <c r="C140" s="29">
        <v>1</v>
      </c>
      <c r="D140" s="44"/>
      <c r="E140" s="44"/>
      <c r="F140" s="44"/>
      <c r="G140" s="31">
        <v>154.71600000000001</v>
      </c>
      <c r="H140" s="32">
        <v>112.53700000000001</v>
      </c>
      <c r="I140" s="32">
        <v>133.976</v>
      </c>
      <c r="J140" s="32">
        <v>79.61</v>
      </c>
      <c r="K140" s="82">
        <v>94.53</v>
      </c>
      <c r="L140" s="82">
        <v>101.48699999999999</v>
      </c>
      <c r="M140" s="82">
        <v>101.48699999999999</v>
      </c>
    </row>
    <row r="141" spans="1:15" ht="12.75">
      <c r="A141" s="27" t="s">
        <v>122</v>
      </c>
      <c r="B141" s="28" t="s">
        <v>93</v>
      </c>
      <c r="C141" s="29">
        <v>1</v>
      </c>
      <c r="D141" s="44"/>
      <c r="E141" s="44"/>
      <c r="F141" s="44"/>
      <c r="G141" s="31">
        <v>305.596</v>
      </c>
      <c r="H141" s="32">
        <v>335.99</v>
      </c>
      <c r="I141" s="32">
        <v>452.17700000000002</v>
      </c>
      <c r="J141" s="32">
        <v>523.63</v>
      </c>
      <c r="K141" s="82">
        <v>471.40499999999997</v>
      </c>
      <c r="L141" s="82">
        <v>514.20000000000005</v>
      </c>
      <c r="M141" s="82">
        <v>483.37</v>
      </c>
    </row>
    <row r="142" spans="1:15" ht="31.5">
      <c r="A142" s="27" t="s">
        <v>123</v>
      </c>
      <c r="B142" s="28" t="s">
        <v>93</v>
      </c>
      <c r="C142" s="29">
        <v>1</v>
      </c>
      <c r="D142" s="44"/>
      <c r="E142" s="44"/>
      <c r="F142" s="44"/>
      <c r="G142" s="31">
        <v>55.786999999999999</v>
      </c>
      <c r="H142" s="32">
        <v>32.064999999999998</v>
      </c>
      <c r="I142" s="32">
        <v>92.631</v>
      </c>
      <c r="J142" s="32">
        <v>26.17</v>
      </c>
      <c r="K142" s="82"/>
      <c r="L142" s="82"/>
      <c r="M142" s="82"/>
    </row>
    <row r="143" spans="1:15" ht="12.75">
      <c r="A143" s="27" t="s">
        <v>124</v>
      </c>
      <c r="B143" s="28" t="s">
        <v>93</v>
      </c>
      <c r="C143" s="29">
        <v>1</v>
      </c>
      <c r="D143" s="44"/>
      <c r="E143" s="44"/>
      <c r="F143" s="44"/>
      <c r="G143" s="31">
        <v>17.294</v>
      </c>
      <c r="H143" s="32">
        <v>12.202999999999999</v>
      </c>
      <c r="I143" s="32">
        <v>15.081</v>
      </c>
      <c r="J143" s="32">
        <v>69.3</v>
      </c>
      <c r="K143" s="82">
        <v>18.46</v>
      </c>
      <c r="L143" s="82">
        <v>11.462999999999999</v>
      </c>
      <c r="M143" s="82">
        <v>11.462999999999999</v>
      </c>
    </row>
    <row r="144" spans="1:15" ht="12.75">
      <c r="A144" s="27" t="s">
        <v>125</v>
      </c>
      <c r="B144" s="28" t="s">
        <v>93</v>
      </c>
      <c r="C144" s="29"/>
      <c r="D144" s="44"/>
      <c r="E144" s="44"/>
      <c r="F144" s="44"/>
      <c r="G144" s="31">
        <v>549</v>
      </c>
      <c r="H144" s="32">
        <v>-4.7380000000000004</v>
      </c>
      <c r="I144" s="32">
        <f>-63.3/1000</f>
        <v>-6.3299999999999995E-2</v>
      </c>
      <c r="J144" s="32">
        <v>-4.55</v>
      </c>
      <c r="K144" s="82">
        <f>50.7/1000</f>
        <v>5.0700000000000002E-2</v>
      </c>
      <c r="L144" s="82"/>
      <c r="M144" s="82"/>
    </row>
    <row r="145" spans="1:16" ht="12.75">
      <c r="A145" s="81" t="s">
        <v>126</v>
      </c>
      <c r="B145" s="28" t="s">
        <v>93</v>
      </c>
      <c r="C145" s="29">
        <v>1</v>
      </c>
      <c r="D145" s="44"/>
      <c r="E145" s="44"/>
      <c r="F145" s="44"/>
      <c r="G145" s="31">
        <v>584.072</v>
      </c>
      <c r="H145" s="32">
        <v>584.80499999999995</v>
      </c>
      <c r="I145" s="32">
        <f>I146+I150+I155+I157+I158+I159+I160+I166</f>
        <v>702.48799999999994</v>
      </c>
      <c r="J145" s="32">
        <f>J146+J150+J155+J157+J158+J159+J160+J166</f>
        <v>862.27700000000004</v>
      </c>
      <c r="K145" s="82">
        <f>K146+K150+K155+K157+K158+K159+K160+K166+K165</f>
        <v>674.6690000000001</v>
      </c>
      <c r="L145" s="82">
        <f>L146+L150+L155+L157+L158+L159+L160+L166+L165</f>
        <v>717.72900000000016</v>
      </c>
      <c r="M145" s="82">
        <f>M146+M150+M155+M157+M158+M159+M160+M166+M165</f>
        <v>686.84300000000007</v>
      </c>
      <c r="N145" s="76"/>
      <c r="O145" s="76"/>
      <c r="P145" s="76"/>
    </row>
    <row r="146" spans="1:16" ht="12.75">
      <c r="A146" s="27" t="s">
        <v>127</v>
      </c>
      <c r="B146" s="28" t="s">
        <v>93</v>
      </c>
      <c r="C146" s="29"/>
      <c r="D146" s="44"/>
      <c r="E146" s="44"/>
      <c r="F146" s="44"/>
      <c r="G146" s="31">
        <v>54.616</v>
      </c>
      <c r="H146" s="32">
        <v>60.4</v>
      </c>
      <c r="I146" s="32">
        <v>66.628</v>
      </c>
      <c r="J146" s="32">
        <v>76.239999999999995</v>
      </c>
      <c r="K146" s="82">
        <v>34.109000000000002</v>
      </c>
      <c r="L146" s="82">
        <v>28.81</v>
      </c>
      <c r="M146" s="82">
        <v>28.81</v>
      </c>
      <c r="N146" s="76"/>
      <c r="O146" s="76"/>
      <c r="P146" s="76"/>
    </row>
    <row r="147" spans="1:16" ht="21">
      <c r="A147" s="27" t="s">
        <v>128</v>
      </c>
      <c r="B147" s="28" t="s">
        <v>93</v>
      </c>
      <c r="C147" s="29">
        <v>1</v>
      </c>
      <c r="D147" s="44"/>
      <c r="E147" s="44"/>
      <c r="F147" s="44"/>
      <c r="G147" s="31">
        <v>1.446</v>
      </c>
      <c r="H147" s="32">
        <v>1.6040000000000001</v>
      </c>
      <c r="I147" s="32">
        <v>1.7709999999999999</v>
      </c>
      <c r="J147" s="32">
        <v>1.65</v>
      </c>
      <c r="K147" s="82">
        <v>1.24</v>
      </c>
      <c r="L147" s="82">
        <v>1</v>
      </c>
      <c r="M147" s="82">
        <v>1.7490000000000001</v>
      </c>
      <c r="N147" s="50"/>
      <c r="O147" s="76"/>
    </row>
    <row r="148" spans="1:16" ht="12.75">
      <c r="A148" s="27" t="s">
        <v>129</v>
      </c>
      <c r="B148" s="28" t="s">
        <v>93</v>
      </c>
      <c r="C148" s="29">
        <v>1</v>
      </c>
      <c r="D148" s="44"/>
      <c r="E148" s="44"/>
      <c r="F148" s="44"/>
      <c r="G148" s="31">
        <v>34.590000000000003</v>
      </c>
      <c r="H148" s="32">
        <v>39.36</v>
      </c>
      <c r="I148" s="32">
        <v>41.92</v>
      </c>
      <c r="J148" s="32">
        <v>48.17</v>
      </c>
      <c r="K148" s="82">
        <v>45.156999999999996</v>
      </c>
      <c r="L148" s="82">
        <v>1.24</v>
      </c>
      <c r="M148" s="82">
        <v>1.24</v>
      </c>
      <c r="N148" s="76"/>
    </row>
    <row r="149" spans="1:16" ht="12.75">
      <c r="A149" s="27" t="s">
        <v>130</v>
      </c>
      <c r="B149" s="28" t="s">
        <v>93</v>
      </c>
      <c r="C149" s="29"/>
      <c r="D149" s="44"/>
      <c r="E149" s="44"/>
      <c r="F149" s="44"/>
      <c r="G149" s="31">
        <v>0</v>
      </c>
      <c r="H149" s="32"/>
      <c r="I149" s="32"/>
      <c r="J149" s="32"/>
      <c r="K149" s="82"/>
      <c r="L149" s="82"/>
      <c r="M149" s="82"/>
    </row>
    <row r="150" spans="1:16" ht="12.75">
      <c r="A150" s="27" t="s">
        <v>131</v>
      </c>
      <c r="B150" s="28" t="s">
        <v>93</v>
      </c>
      <c r="C150" s="29">
        <v>1</v>
      </c>
      <c r="D150" s="44"/>
      <c r="E150" s="44"/>
      <c r="F150" s="44"/>
      <c r="G150" s="31">
        <v>10.532999999999999</v>
      </c>
      <c r="H150" s="32">
        <f>H152+H154</f>
        <v>24.338000000000001</v>
      </c>
      <c r="I150" s="32">
        <f>I152+I154</f>
        <v>10.872</v>
      </c>
      <c r="J150" s="32">
        <v>14.65</v>
      </c>
      <c r="K150" s="82">
        <f>27.799+K154</f>
        <v>32.369</v>
      </c>
      <c r="L150" s="82">
        <f>27.799+L154</f>
        <v>32.918999999999997</v>
      </c>
      <c r="M150" s="82">
        <f>27.799+M154</f>
        <v>33.04</v>
      </c>
    </row>
    <row r="151" spans="1:16" ht="12.75">
      <c r="A151" s="27" t="s">
        <v>132</v>
      </c>
      <c r="B151" s="28" t="s">
        <v>93</v>
      </c>
      <c r="C151" s="29">
        <v>1</v>
      </c>
      <c r="D151" s="44"/>
      <c r="E151" s="44"/>
      <c r="F151" s="44"/>
      <c r="G151" s="31"/>
      <c r="H151" s="32"/>
      <c r="I151" s="32"/>
      <c r="J151" s="32"/>
      <c r="K151" s="82"/>
      <c r="L151" s="82"/>
      <c r="M151" s="82"/>
    </row>
    <row r="152" spans="1:16" ht="12.75">
      <c r="A152" s="27" t="s">
        <v>133</v>
      </c>
      <c r="B152" s="28" t="s">
        <v>93</v>
      </c>
      <c r="C152" s="29">
        <v>1</v>
      </c>
      <c r="D152" s="44"/>
      <c r="E152" s="44"/>
      <c r="F152" s="44"/>
      <c r="G152" s="31">
        <v>10.532999999999999</v>
      </c>
      <c r="H152" s="32">
        <v>1.5960000000000001</v>
      </c>
      <c r="I152" s="32">
        <v>3.8370000000000002</v>
      </c>
      <c r="J152" s="32">
        <v>2.6739999999999999</v>
      </c>
      <c r="K152" s="82">
        <v>2.4900000000000002</v>
      </c>
      <c r="L152" s="82">
        <v>2.4790000000000001</v>
      </c>
      <c r="M152" s="82">
        <v>2.4790000000000001</v>
      </c>
    </row>
    <row r="153" spans="1:16" ht="12.75">
      <c r="A153" s="27" t="s">
        <v>134</v>
      </c>
      <c r="B153" s="28" t="s">
        <v>93</v>
      </c>
      <c r="C153" s="29">
        <v>1</v>
      </c>
      <c r="D153" s="44"/>
      <c r="E153" s="44"/>
      <c r="F153" s="44"/>
      <c r="G153" s="31"/>
      <c r="H153" s="32"/>
      <c r="I153" s="32"/>
      <c r="J153" s="32"/>
      <c r="K153" s="82">
        <v>25.32</v>
      </c>
      <c r="L153" s="82">
        <v>25.32</v>
      </c>
      <c r="M153" s="82">
        <v>25.32</v>
      </c>
    </row>
    <row r="154" spans="1:16" ht="12.75">
      <c r="A154" s="27" t="s">
        <v>135</v>
      </c>
      <c r="B154" s="28" t="s">
        <v>93</v>
      </c>
      <c r="C154" s="29">
        <v>1</v>
      </c>
      <c r="D154" s="44"/>
      <c r="E154" s="44"/>
      <c r="F154" s="44"/>
      <c r="G154" s="31"/>
      <c r="H154" s="32">
        <v>22.742000000000001</v>
      </c>
      <c r="I154" s="32">
        <v>7.0350000000000001</v>
      </c>
      <c r="J154" s="32">
        <v>11.975</v>
      </c>
      <c r="K154" s="82">
        <v>4.57</v>
      </c>
      <c r="L154" s="82">
        <v>5.12</v>
      </c>
      <c r="M154" s="82">
        <f>1.56+3.681</f>
        <v>5.2409999999999997</v>
      </c>
    </row>
    <row r="155" spans="1:16" ht="12.75">
      <c r="A155" s="27" t="s">
        <v>136</v>
      </c>
      <c r="B155" s="28" t="s">
        <v>93</v>
      </c>
      <c r="C155" s="29">
        <v>1</v>
      </c>
      <c r="D155" s="44"/>
      <c r="E155" s="44"/>
      <c r="F155" s="44"/>
      <c r="G155" s="31">
        <v>18.646999999999998</v>
      </c>
      <c r="H155" s="32">
        <v>27.504999999999999</v>
      </c>
      <c r="I155" s="32">
        <v>32.148000000000003</v>
      </c>
      <c r="J155" s="32">
        <v>26.481000000000002</v>
      </c>
      <c r="K155" s="82">
        <v>5.17</v>
      </c>
      <c r="L155" s="82">
        <v>5.17</v>
      </c>
      <c r="M155" s="82">
        <v>5.17</v>
      </c>
      <c r="N155" s="76"/>
    </row>
    <row r="156" spans="1:16" ht="12.75">
      <c r="A156" s="27" t="s">
        <v>137</v>
      </c>
      <c r="B156" s="28" t="s">
        <v>93</v>
      </c>
      <c r="C156" s="29">
        <v>1</v>
      </c>
      <c r="D156" s="44"/>
      <c r="E156" s="44"/>
      <c r="F156" s="44"/>
      <c r="G156" s="31"/>
      <c r="H156" s="32"/>
      <c r="I156" s="32"/>
      <c r="J156" s="32"/>
      <c r="K156" s="82"/>
      <c r="L156" s="82"/>
      <c r="M156" s="82"/>
    </row>
    <row r="157" spans="1:16" ht="12.75">
      <c r="A157" s="27" t="s">
        <v>138</v>
      </c>
      <c r="B157" s="28" t="s">
        <v>93</v>
      </c>
      <c r="C157" s="29">
        <v>1</v>
      </c>
      <c r="D157" s="44"/>
      <c r="E157" s="44"/>
      <c r="F157" s="44"/>
      <c r="G157" s="31">
        <v>368.57799999999997</v>
      </c>
      <c r="H157" s="32">
        <v>410.83199999999999</v>
      </c>
      <c r="I157" s="32">
        <v>519.75699999999995</v>
      </c>
      <c r="J157" s="32">
        <v>631.20000000000005</v>
      </c>
      <c r="K157" s="82">
        <v>518.66099999999994</v>
      </c>
      <c r="L157" s="82">
        <v>547.63</v>
      </c>
      <c r="M157" s="82">
        <v>547.63</v>
      </c>
      <c r="N157" s="76"/>
    </row>
    <row r="158" spans="1:16" ht="12.75">
      <c r="A158" s="27" t="s">
        <v>139</v>
      </c>
      <c r="B158" s="28" t="s">
        <v>93</v>
      </c>
      <c r="C158" s="29">
        <v>1</v>
      </c>
      <c r="D158" s="44"/>
      <c r="E158" s="44"/>
      <c r="F158" s="44"/>
      <c r="G158" s="31">
        <v>8.9909999999999997</v>
      </c>
      <c r="H158" s="32">
        <v>10.895</v>
      </c>
      <c r="I158" s="32">
        <v>12.006</v>
      </c>
      <c r="J158" s="32">
        <v>14.66</v>
      </c>
      <c r="K158" s="82">
        <f>13.097+1.3</f>
        <v>14.397</v>
      </c>
      <c r="L158" s="82">
        <v>14.35</v>
      </c>
      <c r="M158" s="82">
        <v>14.35</v>
      </c>
    </row>
    <row r="159" spans="1:16" ht="12.75">
      <c r="A159" s="27" t="s">
        <v>140</v>
      </c>
      <c r="B159" s="28" t="s">
        <v>93</v>
      </c>
      <c r="C159" s="29">
        <v>1</v>
      </c>
      <c r="D159" s="44"/>
      <c r="E159" s="44"/>
      <c r="F159" s="44"/>
      <c r="G159" s="31">
        <v>61.433999999999997</v>
      </c>
      <c r="H159" s="32">
        <v>11.125999999999999</v>
      </c>
      <c r="I159" s="32">
        <v>7.7329999999999997</v>
      </c>
      <c r="J159" s="32">
        <v>35.624000000000002</v>
      </c>
      <c r="K159" s="82">
        <v>2.2000000000000002</v>
      </c>
      <c r="L159" s="82">
        <v>2.2200000000000002</v>
      </c>
      <c r="M159" s="82">
        <v>2.2200000000000002</v>
      </c>
    </row>
    <row r="160" spans="1:16" ht="12.75">
      <c r="A160" s="27" t="s">
        <v>141</v>
      </c>
      <c r="B160" s="28" t="s">
        <v>93</v>
      </c>
      <c r="C160" s="29">
        <v>1</v>
      </c>
      <c r="D160" s="44"/>
      <c r="E160" s="44"/>
      <c r="F160" s="44"/>
      <c r="G160" s="31">
        <v>40.642000000000003</v>
      </c>
      <c r="H160" s="32">
        <v>39.283000000000001</v>
      </c>
      <c r="I160" s="32">
        <v>49.768000000000001</v>
      </c>
      <c r="J160" s="32">
        <v>55.872999999999998</v>
      </c>
      <c r="K160" s="82">
        <v>29.088999999999999</v>
      </c>
      <c r="L160" s="82">
        <v>54.97</v>
      </c>
      <c r="M160" s="82">
        <v>23.963000000000001</v>
      </c>
      <c r="N160" s="76"/>
    </row>
    <row r="161" spans="1:13" ht="12.75">
      <c r="A161" s="27" t="s">
        <v>142</v>
      </c>
      <c r="B161" s="28" t="s">
        <v>93</v>
      </c>
      <c r="C161" s="29"/>
      <c r="D161" s="44"/>
      <c r="E161" s="44"/>
      <c r="F161" s="44"/>
      <c r="G161" s="31"/>
      <c r="H161" s="32"/>
      <c r="I161" s="32"/>
      <c r="J161" s="32"/>
      <c r="K161" s="82"/>
      <c r="L161" s="82"/>
      <c r="M161" s="82"/>
    </row>
    <row r="162" spans="1:13" ht="12.75">
      <c r="A162" s="27" t="s">
        <v>143</v>
      </c>
      <c r="B162" s="28" t="s">
        <v>93</v>
      </c>
      <c r="C162" s="29">
        <v>1</v>
      </c>
      <c r="D162" s="44"/>
      <c r="E162" s="44"/>
      <c r="F162" s="44"/>
      <c r="G162" s="31">
        <v>30.803000000000001</v>
      </c>
      <c r="H162" s="32"/>
      <c r="I162" s="32"/>
      <c r="J162" s="32">
        <v>55.357999999999997</v>
      </c>
      <c r="K162" s="82">
        <v>45.45</v>
      </c>
      <c r="L162" s="82">
        <v>45.45</v>
      </c>
      <c r="M162" s="82">
        <v>45.45</v>
      </c>
    </row>
    <row r="163" spans="1:13" ht="12.75">
      <c r="A163" s="27" t="s">
        <v>144</v>
      </c>
      <c r="B163" s="28" t="s">
        <v>93</v>
      </c>
      <c r="C163" s="29">
        <v>1</v>
      </c>
      <c r="D163" s="44"/>
      <c r="E163" s="44"/>
      <c r="F163" s="44"/>
      <c r="G163" s="31">
        <v>9.8390000000000004</v>
      </c>
      <c r="H163" s="32">
        <v>7.1719999999999997</v>
      </c>
      <c r="I163" s="32">
        <v>7.1890000000000001</v>
      </c>
      <c r="J163" s="32">
        <v>7.7222</v>
      </c>
      <c r="K163" s="82">
        <v>7.7222</v>
      </c>
      <c r="L163" s="82">
        <v>7.7222</v>
      </c>
      <c r="M163" s="82">
        <v>7.7222</v>
      </c>
    </row>
    <row r="164" spans="1:13" ht="12.75">
      <c r="A164" s="27" t="s">
        <v>145</v>
      </c>
      <c r="B164" s="28" t="s">
        <v>93</v>
      </c>
      <c r="C164" s="29">
        <v>1</v>
      </c>
      <c r="D164" s="44"/>
      <c r="E164" s="44"/>
      <c r="F164" s="44"/>
      <c r="G164" s="31">
        <v>0</v>
      </c>
      <c r="H164" s="32"/>
      <c r="I164" s="32"/>
      <c r="J164" s="32"/>
      <c r="K164" s="82"/>
      <c r="L164" s="82"/>
      <c r="M164" s="82"/>
    </row>
    <row r="165" spans="1:13" ht="31.5">
      <c r="A165" s="27" t="s">
        <v>146</v>
      </c>
      <c r="B165" s="28" t="s">
        <v>93</v>
      </c>
      <c r="C165" s="29"/>
      <c r="D165" s="44"/>
      <c r="E165" s="44"/>
      <c r="F165" s="44"/>
      <c r="G165" s="31"/>
      <c r="H165" s="32"/>
      <c r="I165" s="32"/>
      <c r="J165" s="32"/>
      <c r="K165" s="82">
        <v>36.874000000000002</v>
      </c>
      <c r="L165" s="82">
        <v>29.96</v>
      </c>
      <c r="M165" s="82">
        <v>29.96</v>
      </c>
    </row>
    <row r="166" spans="1:13" ht="12.75">
      <c r="A166" s="27" t="s">
        <v>147</v>
      </c>
      <c r="B166" s="28" t="s">
        <v>93</v>
      </c>
      <c r="C166" s="29"/>
      <c r="D166" s="44"/>
      <c r="E166" s="44"/>
      <c r="F166" s="44"/>
      <c r="G166" s="31">
        <v>20.631</v>
      </c>
      <c r="H166" s="32">
        <v>2.4249999999999998</v>
      </c>
      <c r="I166" s="32">
        <v>3.5760000000000001</v>
      </c>
      <c r="J166" s="32">
        <v>7.5490000000000004</v>
      </c>
      <c r="K166" s="82">
        <v>1.8</v>
      </c>
      <c r="L166" s="82">
        <v>1.7</v>
      </c>
      <c r="M166" s="82">
        <v>1.7</v>
      </c>
    </row>
    <row r="167" spans="1:13" ht="12.75">
      <c r="A167" s="27" t="s">
        <v>148</v>
      </c>
      <c r="B167" s="28" t="s">
        <v>93</v>
      </c>
      <c r="C167" s="29"/>
      <c r="D167" s="44"/>
      <c r="E167" s="44"/>
      <c r="F167" s="44"/>
      <c r="G167" s="31">
        <v>13.289</v>
      </c>
      <c r="H167" s="32">
        <f>H117-H145</f>
        <v>-44.184999999999945</v>
      </c>
      <c r="I167" s="32">
        <f>I117-I145</f>
        <v>56.117400000000089</v>
      </c>
      <c r="J167" s="32">
        <v>57.2</v>
      </c>
      <c r="K167" s="82">
        <f>K117-K145</f>
        <v>14.692699999999832</v>
      </c>
      <c r="L167" s="82">
        <v>0</v>
      </c>
      <c r="M167" s="82">
        <f>M117-M145</f>
        <v>-3.0000000001564331E-3</v>
      </c>
    </row>
    <row r="168" spans="1:13" ht="12.75">
      <c r="A168" s="27" t="s">
        <v>149</v>
      </c>
      <c r="B168" s="28" t="s">
        <v>93</v>
      </c>
      <c r="C168" s="29"/>
      <c r="D168" s="44"/>
      <c r="E168" s="44"/>
      <c r="F168" s="44"/>
      <c r="G168" s="31">
        <v>0</v>
      </c>
      <c r="H168" s="32" t="s">
        <v>39</v>
      </c>
      <c r="I168" s="32">
        <f>142/1000</f>
        <v>0.14199999999999999</v>
      </c>
      <c r="J168" s="32">
        <f>142/1000</f>
        <v>0.14199999999999999</v>
      </c>
      <c r="K168" s="82">
        <v>0</v>
      </c>
      <c r="L168" s="82">
        <v>0</v>
      </c>
      <c r="M168" s="82">
        <v>0</v>
      </c>
    </row>
    <row r="169" spans="1:13" ht="28.5">
      <c r="A169" s="80" t="s">
        <v>150</v>
      </c>
      <c r="B169" s="47"/>
      <c r="C169" s="29"/>
      <c r="D169" s="44"/>
      <c r="E169" s="44"/>
      <c r="F169" s="44"/>
      <c r="G169" s="83"/>
      <c r="H169" s="32"/>
      <c r="I169" s="32"/>
      <c r="J169" s="32"/>
      <c r="K169" s="32"/>
      <c r="L169" s="32"/>
      <c r="M169" s="32"/>
    </row>
    <row r="170" spans="1:13" ht="12.75">
      <c r="A170" s="61" t="s">
        <v>151</v>
      </c>
      <c r="B170" s="28" t="s">
        <v>93</v>
      </c>
      <c r="C170" s="29">
        <v>1</v>
      </c>
      <c r="D170" s="44"/>
      <c r="E170" s="44"/>
      <c r="F170" s="44"/>
      <c r="G170" s="31">
        <f t="shared" ref="G170:M170" si="7">G172+G173+G174+G178+G179</f>
        <v>7231.19</v>
      </c>
      <c r="H170" s="32">
        <f t="shared" si="7"/>
        <v>7926</v>
      </c>
      <c r="I170" s="32">
        <f t="shared" si="7"/>
        <v>6584.8380000000006</v>
      </c>
      <c r="J170" s="32">
        <f>J172+J173+J174+J178+J179</f>
        <v>7745.12</v>
      </c>
      <c r="K170" s="32">
        <f>K172+K173+K174+K178+K179</f>
        <v>7763.1259999999984</v>
      </c>
      <c r="L170" s="32">
        <f t="shared" si="7"/>
        <v>8151.2822999999999</v>
      </c>
      <c r="M170" s="32">
        <f t="shared" si="7"/>
        <v>8558.846415</v>
      </c>
    </row>
    <row r="171" spans="1:13" ht="12.75">
      <c r="A171" s="27" t="s">
        <v>30</v>
      </c>
      <c r="B171" s="28"/>
      <c r="C171" s="29"/>
      <c r="D171" s="44"/>
      <c r="E171" s="44"/>
      <c r="F171" s="44"/>
      <c r="G171" s="31"/>
      <c r="H171" s="32"/>
      <c r="I171" s="32"/>
      <c r="J171" s="32"/>
      <c r="K171" s="32"/>
      <c r="L171" s="32"/>
      <c r="M171" s="32"/>
    </row>
    <row r="172" spans="1:13" ht="12.75">
      <c r="A172" s="49" t="s">
        <v>152</v>
      </c>
      <c r="B172" s="28" t="s">
        <v>93</v>
      </c>
      <c r="C172" s="29">
        <v>1</v>
      </c>
      <c r="D172" s="44"/>
      <c r="E172" s="44"/>
      <c r="F172" s="44"/>
      <c r="G172" s="31">
        <v>5007.3</v>
      </c>
      <c r="H172" s="32">
        <v>5527.5</v>
      </c>
      <c r="I172" s="32">
        <v>3724.3</v>
      </c>
      <c r="J172" s="32">
        <v>4274.8999999999996</v>
      </c>
      <c r="K172" s="32">
        <f>J172*1.05</f>
        <v>4488.6449999999995</v>
      </c>
      <c r="L172" s="32">
        <f>K172*1.05</f>
        <v>4713.0772499999994</v>
      </c>
      <c r="M172" s="32">
        <f>L172*1.05</f>
        <v>4948.7311124999997</v>
      </c>
    </row>
    <row r="173" spans="1:13" ht="12.75">
      <c r="A173" s="49" t="s">
        <v>153</v>
      </c>
      <c r="B173" s="28" t="s">
        <v>93</v>
      </c>
      <c r="C173" s="29">
        <v>1</v>
      </c>
      <c r="D173" s="44"/>
      <c r="E173" s="44"/>
      <c r="F173" s="44"/>
      <c r="G173" s="31">
        <v>422.3</v>
      </c>
      <c r="H173" s="32">
        <v>500.5</v>
      </c>
      <c r="I173" s="32">
        <v>516.1</v>
      </c>
      <c r="J173" s="32">
        <v>885</v>
      </c>
      <c r="K173" s="32">
        <v>560</v>
      </c>
      <c r="L173" s="32">
        <f t="shared" ref="L173:M180" si="8">K173*1.05</f>
        <v>588</v>
      </c>
      <c r="M173" s="32">
        <f t="shared" si="8"/>
        <v>617.4</v>
      </c>
    </row>
    <row r="174" spans="1:13" ht="12.75">
      <c r="A174" s="49" t="s">
        <v>154</v>
      </c>
      <c r="B174" s="28" t="s">
        <v>93</v>
      </c>
      <c r="C174" s="29">
        <v>1</v>
      </c>
      <c r="D174" s="44"/>
      <c r="E174" s="44"/>
      <c r="F174" s="44"/>
      <c r="G174" s="31">
        <v>1529.4</v>
      </c>
      <c r="H174" s="32">
        <v>1680.5</v>
      </c>
      <c r="I174" s="32">
        <f>I175+I176</f>
        <v>2062.4300000000003</v>
      </c>
      <c r="J174" s="32">
        <v>2178.1999999999998</v>
      </c>
      <c r="K174" s="32">
        <f t="shared" ref="K174:K180" si="9">J174*1.05</f>
        <v>2287.11</v>
      </c>
      <c r="L174" s="32">
        <f t="shared" si="8"/>
        <v>2401.4655000000002</v>
      </c>
      <c r="M174" s="32">
        <f t="shared" si="8"/>
        <v>2521.5387750000004</v>
      </c>
    </row>
    <row r="175" spans="1:13" ht="12.75">
      <c r="A175" s="75" t="s">
        <v>155</v>
      </c>
      <c r="B175" s="28" t="s">
        <v>93</v>
      </c>
      <c r="C175" s="29">
        <v>1</v>
      </c>
      <c r="D175" s="44"/>
      <c r="E175" s="44"/>
      <c r="F175" s="44"/>
      <c r="G175" s="31">
        <v>1241.5</v>
      </c>
      <c r="H175" s="32">
        <v>1257.7</v>
      </c>
      <c r="I175" s="32">
        <v>1566.93</v>
      </c>
      <c r="J175" s="32">
        <v>1673.8</v>
      </c>
      <c r="K175" s="32">
        <f t="shared" si="9"/>
        <v>1757.49</v>
      </c>
      <c r="L175" s="32">
        <f t="shared" si="8"/>
        <v>1845.3645000000001</v>
      </c>
      <c r="M175" s="32">
        <f t="shared" si="8"/>
        <v>1937.6327250000002</v>
      </c>
    </row>
    <row r="176" spans="1:13" ht="12.75">
      <c r="A176" s="75" t="s">
        <v>156</v>
      </c>
      <c r="B176" s="28" t="s">
        <v>93</v>
      </c>
      <c r="C176" s="29">
        <v>1</v>
      </c>
      <c r="D176" s="44"/>
      <c r="E176" s="44"/>
      <c r="F176" s="44"/>
      <c r="G176" s="31">
        <v>287.89999999999998</v>
      </c>
      <c r="H176" s="32">
        <v>422.8</v>
      </c>
      <c r="I176" s="32">
        <v>495.5</v>
      </c>
      <c r="J176" s="32">
        <v>504.3</v>
      </c>
      <c r="K176" s="32">
        <f t="shared" si="9"/>
        <v>529.51499999999999</v>
      </c>
      <c r="L176" s="32">
        <f t="shared" si="8"/>
        <v>555.99075000000005</v>
      </c>
      <c r="M176" s="32">
        <f t="shared" si="8"/>
        <v>583.79028750000009</v>
      </c>
    </row>
    <row r="177" spans="1:13" ht="12.75">
      <c r="A177" s="75" t="s">
        <v>157</v>
      </c>
      <c r="B177" s="28" t="s">
        <v>93</v>
      </c>
      <c r="C177" s="29">
        <v>1</v>
      </c>
      <c r="D177" s="44"/>
      <c r="E177" s="44"/>
      <c r="F177" s="44"/>
      <c r="G177" s="31"/>
      <c r="H177" s="32"/>
      <c r="I177" s="32"/>
      <c r="J177" s="32">
        <f>I177*1.05</f>
        <v>0</v>
      </c>
      <c r="K177" s="32">
        <f t="shared" si="9"/>
        <v>0</v>
      </c>
      <c r="L177" s="32">
        <f t="shared" si="8"/>
        <v>0</v>
      </c>
      <c r="M177" s="32">
        <f t="shared" si="8"/>
        <v>0</v>
      </c>
    </row>
    <row r="178" spans="1:13" ht="12.75">
      <c r="A178" s="49" t="s">
        <v>158</v>
      </c>
      <c r="B178" s="28" t="s">
        <v>93</v>
      </c>
      <c r="C178" s="29">
        <v>1</v>
      </c>
      <c r="D178" s="44"/>
      <c r="E178" s="44"/>
      <c r="F178" s="44"/>
      <c r="G178" s="31">
        <v>25.08</v>
      </c>
      <c r="H178" s="32">
        <v>70.400000000000006</v>
      </c>
      <c r="I178" s="32">
        <v>82</v>
      </c>
      <c r="J178" s="32">
        <v>82.6</v>
      </c>
      <c r="K178" s="32">
        <f t="shared" si="9"/>
        <v>86.73</v>
      </c>
      <c r="L178" s="32">
        <f t="shared" si="8"/>
        <v>91.066500000000005</v>
      </c>
      <c r="M178" s="32">
        <f t="shared" si="8"/>
        <v>95.619825000000006</v>
      </c>
    </row>
    <row r="179" spans="1:13" ht="12.75">
      <c r="A179" s="49" t="s">
        <v>159</v>
      </c>
      <c r="B179" s="28" t="s">
        <v>93</v>
      </c>
      <c r="C179" s="29">
        <v>1</v>
      </c>
      <c r="D179" s="44"/>
      <c r="E179" s="44"/>
      <c r="F179" s="44"/>
      <c r="G179" s="31">
        <f>0.92+109.47+136.72</f>
        <v>247.11</v>
      </c>
      <c r="H179" s="32">
        <f>120.2+26.9</f>
        <v>147.1</v>
      </c>
      <c r="I179" s="32">
        <f>5.198+66.91+127.9</f>
        <v>200.00800000000001</v>
      </c>
      <c r="J179" s="32">
        <v>324.42</v>
      </c>
      <c r="K179" s="32">
        <f t="shared" si="9"/>
        <v>340.64100000000002</v>
      </c>
      <c r="L179" s="32">
        <f t="shared" si="8"/>
        <v>357.67305000000005</v>
      </c>
      <c r="M179" s="32">
        <f t="shared" si="8"/>
        <v>375.55670250000009</v>
      </c>
    </row>
    <row r="180" spans="1:13" ht="12.75">
      <c r="A180" s="27" t="s">
        <v>160</v>
      </c>
      <c r="B180" s="28" t="s">
        <v>161</v>
      </c>
      <c r="C180" s="29">
        <v>1</v>
      </c>
      <c r="D180" s="44"/>
      <c r="E180" s="44"/>
      <c r="F180" s="44"/>
      <c r="G180" s="31">
        <f>G170/G6/12*1000</f>
        <v>9552.9354259141837</v>
      </c>
      <c r="H180" s="32">
        <f>H170/H6/12*1000</f>
        <v>10150.607038573844</v>
      </c>
      <c r="I180" s="32">
        <v>8335.4</v>
      </c>
      <c r="J180" s="32">
        <f>I180*1.05</f>
        <v>8752.17</v>
      </c>
      <c r="K180" s="32">
        <f t="shared" si="9"/>
        <v>9189.7785000000003</v>
      </c>
      <c r="L180" s="32">
        <f t="shared" si="8"/>
        <v>9649.267425</v>
      </c>
      <c r="M180" s="32">
        <f t="shared" si="8"/>
        <v>10131.73079625</v>
      </c>
    </row>
    <row r="181" spans="1:13" ht="12.75">
      <c r="A181" s="61" t="s">
        <v>162</v>
      </c>
      <c r="B181" s="28" t="s">
        <v>93</v>
      </c>
      <c r="C181" s="29">
        <v>1</v>
      </c>
      <c r="D181" s="44"/>
      <c r="E181" s="44"/>
      <c r="F181" s="44"/>
      <c r="G181" s="31">
        <f>G183+G185+G186</f>
        <v>6914.0800000000008</v>
      </c>
      <c r="H181" s="32">
        <f>H183+H185+H186</f>
        <v>7689.55</v>
      </c>
      <c r="I181" s="32">
        <v>6538.69</v>
      </c>
      <c r="J181" s="32">
        <f>J183+J185+J186</f>
        <v>7159.78</v>
      </c>
      <c r="K181" s="32">
        <f>K183+K185+K186</f>
        <v>7510.8190000000004</v>
      </c>
      <c r="L181" s="32">
        <f>L183+L185+L186</f>
        <v>7886.35995</v>
      </c>
      <c r="M181" s="32">
        <f>M183+M185+M186</f>
        <v>8280.6779475000021</v>
      </c>
    </row>
    <row r="182" spans="1:13" ht="12.75">
      <c r="A182" s="27" t="s">
        <v>30</v>
      </c>
      <c r="B182" s="28" t="s">
        <v>163</v>
      </c>
      <c r="C182" s="29"/>
      <c r="D182" s="44"/>
      <c r="E182" s="44"/>
      <c r="F182" s="44"/>
      <c r="G182" s="31"/>
      <c r="H182" s="32"/>
      <c r="I182" s="32"/>
      <c r="J182" s="32">
        <f t="shared" ref="J182:M185" si="10">I182*1.05</f>
        <v>0</v>
      </c>
      <c r="K182" s="32">
        <f t="shared" si="10"/>
        <v>0</v>
      </c>
      <c r="L182" s="32">
        <f t="shared" si="10"/>
        <v>0</v>
      </c>
      <c r="M182" s="32">
        <f t="shared" si="10"/>
        <v>0</v>
      </c>
    </row>
    <row r="183" spans="1:13" ht="12.75">
      <c r="A183" s="49" t="s">
        <v>164</v>
      </c>
      <c r="B183" s="28" t="s">
        <v>93</v>
      </c>
      <c r="C183" s="29">
        <v>1</v>
      </c>
      <c r="D183" s="44"/>
      <c r="E183" s="44"/>
      <c r="F183" s="44"/>
      <c r="G183" s="31">
        <f>6143.1+521.18</f>
        <v>6664.2800000000007</v>
      </c>
      <c r="H183" s="32">
        <v>6950.1</v>
      </c>
      <c r="I183" s="32">
        <v>3724.3</v>
      </c>
      <c r="J183" s="32">
        <v>4167.8</v>
      </c>
      <c r="K183" s="32">
        <f t="shared" si="10"/>
        <v>4376.1900000000005</v>
      </c>
      <c r="L183" s="32">
        <f t="shared" si="10"/>
        <v>4594.9995000000008</v>
      </c>
      <c r="M183" s="32">
        <f t="shared" si="10"/>
        <v>4824.7494750000014</v>
      </c>
    </row>
    <row r="184" spans="1:13" ht="12.75">
      <c r="A184" s="75" t="s">
        <v>165</v>
      </c>
      <c r="B184" s="28" t="s">
        <v>93</v>
      </c>
      <c r="C184" s="29">
        <v>1</v>
      </c>
      <c r="D184" s="44"/>
      <c r="E184" s="44"/>
      <c r="F184" s="44"/>
      <c r="G184" s="31"/>
      <c r="H184" s="32"/>
      <c r="I184" s="32"/>
      <c r="J184" s="32">
        <f t="shared" si="10"/>
        <v>0</v>
      </c>
      <c r="K184" s="32">
        <f t="shared" si="10"/>
        <v>0</v>
      </c>
      <c r="L184" s="32">
        <f t="shared" si="10"/>
        <v>0</v>
      </c>
      <c r="M184" s="32">
        <f t="shared" si="10"/>
        <v>0</v>
      </c>
    </row>
    <row r="185" spans="1:13" ht="12.75">
      <c r="A185" s="49" t="s">
        <v>166</v>
      </c>
      <c r="B185" s="28" t="s">
        <v>93</v>
      </c>
      <c r="C185" s="29">
        <v>1</v>
      </c>
      <c r="D185" s="44"/>
      <c r="E185" s="44"/>
      <c r="F185" s="44"/>
      <c r="G185" s="31">
        <v>64.17</v>
      </c>
      <c r="H185" s="32">
        <v>84</v>
      </c>
      <c r="I185" s="32">
        <v>58.61</v>
      </c>
      <c r="J185" s="32">
        <v>92.98</v>
      </c>
      <c r="K185" s="32">
        <f t="shared" si="10"/>
        <v>97.629000000000005</v>
      </c>
      <c r="L185" s="32">
        <f t="shared" si="10"/>
        <v>102.51045000000001</v>
      </c>
      <c r="M185" s="32">
        <f t="shared" si="10"/>
        <v>107.63597250000001</v>
      </c>
    </row>
    <row r="186" spans="1:13" ht="12.75">
      <c r="A186" s="49" t="s">
        <v>167</v>
      </c>
      <c r="B186" s="28" t="s">
        <v>93</v>
      </c>
      <c r="C186" s="29">
        <v>1</v>
      </c>
      <c r="D186" s="44"/>
      <c r="E186" s="44"/>
      <c r="F186" s="44"/>
      <c r="G186" s="31">
        <f>65+1.2+117.93+1.5</f>
        <v>185.63</v>
      </c>
      <c r="H186" s="32">
        <f>195.6+459.85</f>
        <v>655.45</v>
      </c>
      <c r="I186" s="32">
        <f>I181-I183-I185</f>
        <v>2755.7799999999993</v>
      </c>
      <c r="J186" s="32">
        <v>2899</v>
      </c>
      <c r="K186" s="32">
        <v>3037</v>
      </c>
      <c r="L186" s="32">
        <f>K186*1.05</f>
        <v>3188.85</v>
      </c>
      <c r="M186" s="32">
        <f>L186*1.05</f>
        <v>3348.2925</v>
      </c>
    </row>
    <row r="187" spans="1:13" ht="21">
      <c r="A187" s="49" t="s">
        <v>168</v>
      </c>
      <c r="B187" s="28" t="s">
        <v>93</v>
      </c>
      <c r="C187" s="29">
        <v>1</v>
      </c>
      <c r="D187" s="44"/>
      <c r="E187" s="44"/>
      <c r="F187" s="44"/>
      <c r="G187" s="31">
        <f>G170-G181</f>
        <v>317.10999999999876</v>
      </c>
      <c r="H187" s="32">
        <v>236.58</v>
      </c>
      <c r="I187" s="32">
        <v>46.14</v>
      </c>
      <c r="J187" s="32">
        <f>J170-J181</f>
        <v>585.34000000000015</v>
      </c>
      <c r="K187" s="32">
        <f>K170-K181</f>
        <v>252.30699999999797</v>
      </c>
      <c r="L187" s="32">
        <f>L170-L181</f>
        <v>264.92234999999982</v>
      </c>
      <c r="M187" s="32">
        <f>M170-M181</f>
        <v>278.16846749999786</v>
      </c>
    </row>
    <row r="188" spans="1:13" ht="21">
      <c r="A188" s="27" t="s">
        <v>169</v>
      </c>
      <c r="B188" s="28" t="s">
        <v>170</v>
      </c>
      <c r="C188" s="29">
        <v>1</v>
      </c>
      <c r="D188" s="84"/>
      <c r="E188" s="44"/>
      <c r="F188" s="44"/>
      <c r="G188" s="31">
        <v>6374.6</v>
      </c>
      <c r="H188" s="32">
        <v>7857</v>
      </c>
      <c r="I188" s="32">
        <v>7923</v>
      </c>
      <c r="J188" s="32">
        <f>H188*1.05</f>
        <v>8249.85</v>
      </c>
      <c r="K188" s="32">
        <f>J188*1.02</f>
        <v>8414.8469999999998</v>
      </c>
      <c r="L188" s="32">
        <f>K188*1.03</f>
        <v>8667.29241</v>
      </c>
      <c r="M188" s="32">
        <f>L188*1.05</f>
        <v>9100.6570305000005</v>
      </c>
    </row>
    <row r="189" spans="1:13" ht="14.25">
      <c r="A189" s="37" t="s">
        <v>171</v>
      </c>
      <c r="B189" s="47"/>
      <c r="C189" s="29"/>
      <c r="D189" s="44"/>
      <c r="E189" s="44"/>
      <c r="F189" s="44"/>
      <c r="G189" s="31"/>
      <c r="H189" s="32"/>
      <c r="I189" s="32"/>
      <c r="J189" s="32">
        <f>H189*1.05</f>
        <v>0</v>
      </c>
      <c r="K189" s="32"/>
      <c r="L189" s="32"/>
      <c r="M189" s="32"/>
    </row>
    <row r="190" spans="1:13" ht="12.75">
      <c r="A190" s="27" t="s">
        <v>172</v>
      </c>
      <c r="B190" s="28" t="s">
        <v>12</v>
      </c>
      <c r="C190" s="29">
        <v>1</v>
      </c>
      <c r="D190" s="44"/>
      <c r="E190" s="44"/>
      <c r="F190" s="44"/>
      <c r="G190" s="31">
        <v>37.08</v>
      </c>
      <c r="H190" s="32">
        <v>37.39</v>
      </c>
      <c r="I190" s="32">
        <v>34.46</v>
      </c>
      <c r="J190" s="32">
        <v>34.130000000000003</v>
      </c>
      <c r="K190" s="32">
        <v>34.46</v>
      </c>
      <c r="L190" s="32">
        <v>34.46</v>
      </c>
      <c r="M190" s="32">
        <v>34.46</v>
      </c>
    </row>
    <row r="191" spans="1:13" ht="12.75">
      <c r="A191" s="61" t="s">
        <v>173</v>
      </c>
      <c r="B191" s="28" t="s">
        <v>12</v>
      </c>
      <c r="C191" s="29">
        <v>1</v>
      </c>
      <c r="D191" s="44"/>
      <c r="E191" s="44"/>
      <c r="F191" s="44"/>
      <c r="G191" s="31">
        <v>32.790999999999997</v>
      </c>
      <c r="H191" s="32">
        <v>30.97</v>
      </c>
      <c r="I191" s="32">
        <v>29.9</v>
      </c>
      <c r="J191" s="32">
        <v>29.12</v>
      </c>
      <c r="K191" s="32">
        <v>29.9</v>
      </c>
      <c r="L191" s="32">
        <v>29.9</v>
      </c>
      <c r="M191" s="32">
        <v>29.9</v>
      </c>
    </row>
    <row r="192" spans="1:13" ht="21">
      <c r="A192" s="27" t="s">
        <v>174</v>
      </c>
      <c r="B192" s="28" t="s">
        <v>163</v>
      </c>
      <c r="C192" s="29"/>
      <c r="D192" s="44"/>
      <c r="E192" s="44"/>
      <c r="F192" s="44"/>
      <c r="G192" s="31"/>
      <c r="H192" s="32"/>
      <c r="I192" s="32"/>
      <c r="J192" s="32"/>
      <c r="K192" s="32"/>
      <c r="L192" s="32"/>
      <c r="M192" s="32"/>
    </row>
    <row r="193" spans="1:15" ht="21">
      <c r="A193" s="49" t="s">
        <v>175</v>
      </c>
      <c r="B193" s="28" t="s">
        <v>12</v>
      </c>
      <c r="C193" s="29">
        <v>1</v>
      </c>
      <c r="D193" s="44"/>
      <c r="E193" s="44"/>
      <c r="F193" s="44"/>
      <c r="G193" s="31">
        <v>3.21</v>
      </c>
      <c r="H193" s="32">
        <v>3.21</v>
      </c>
      <c r="I193" s="32">
        <f>(230+2223+582)/1000</f>
        <v>3.0350000000000001</v>
      </c>
      <c r="J193" s="32">
        <v>2.73</v>
      </c>
      <c r="K193" s="32">
        <f>(230+2223+582)/1000</f>
        <v>3.0350000000000001</v>
      </c>
      <c r="L193" s="32">
        <f>(230+2223+582)/1000</f>
        <v>3.0350000000000001</v>
      </c>
      <c r="M193" s="32">
        <f>(230+2223+582)/1000</f>
        <v>3.0350000000000001</v>
      </c>
    </row>
    <row r="194" spans="1:15" ht="12.75">
      <c r="A194" s="49" t="s">
        <v>176</v>
      </c>
      <c r="B194" s="28" t="s">
        <v>12</v>
      </c>
      <c r="C194" s="29">
        <v>1</v>
      </c>
      <c r="D194" s="44"/>
      <c r="E194" s="44"/>
      <c r="F194" s="44"/>
      <c r="G194" s="31"/>
      <c r="H194" s="32"/>
      <c r="I194" s="32"/>
      <c r="J194" s="32"/>
      <c r="K194" s="32"/>
      <c r="L194" s="32"/>
      <c r="M194" s="32"/>
    </row>
    <row r="195" spans="1:15" ht="21">
      <c r="A195" s="49" t="s">
        <v>177</v>
      </c>
      <c r="B195" s="28" t="s">
        <v>12</v>
      </c>
      <c r="C195" s="29">
        <v>1</v>
      </c>
      <c r="D195" s="44"/>
      <c r="E195" s="44"/>
      <c r="F195" s="44"/>
      <c r="G195" s="31">
        <f>4029/1000</f>
        <v>4.0289999999999999</v>
      </c>
      <c r="H195" s="32">
        <v>1.3</v>
      </c>
      <c r="I195" s="32">
        <f>(560+672)/1000</f>
        <v>1.232</v>
      </c>
      <c r="J195" s="32">
        <f>(560+672)/1000</f>
        <v>1.232</v>
      </c>
      <c r="K195" s="32">
        <f>(560+672)/1000</f>
        <v>1.232</v>
      </c>
      <c r="L195" s="32">
        <f>(560+672)/1000</f>
        <v>1.232</v>
      </c>
      <c r="M195" s="32">
        <f>(560+672)/1000</f>
        <v>1.232</v>
      </c>
    </row>
    <row r="196" spans="1:15" ht="12.75">
      <c r="A196" s="49" t="s">
        <v>178</v>
      </c>
      <c r="B196" s="28" t="s">
        <v>12</v>
      </c>
      <c r="C196" s="29">
        <v>1</v>
      </c>
      <c r="D196" s="44"/>
      <c r="E196" s="44"/>
      <c r="F196" s="44"/>
      <c r="G196" s="31"/>
      <c r="H196" s="32"/>
      <c r="I196" s="32"/>
      <c r="J196" s="32"/>
      <c r="K196" s="32"/>
      <c r="L196" s="32"/>
      <c r="M196" s="32"/>
      <c r="N196" s="85"/>
      <c r="O196" s="85"/>
    </row>
    <row r="197" spans="1:15" ht="15">
      <c r="A197" s="49" t="s">
        <v>179</v>
      </c>
      <c r="B197" s="28" t="s">
        <v>12</v>
      </c>
      <c r="C197" s="29">
        <v>1</v>
      </c>
      <c r="D197" s="44"/>
      <c r="E197" s="44"/>
      <c r="F197" s="44"/>
      <c r="G197" s="31">
        <v>15.8</v>
      </c>
      <c r="H197" s="32">
        <v>15.8</v>
      </c>
      <c r="I197" s="32">
        <v>15.8</v>
      </c>
      <c r="J197" s="32">
        <v>18.47</v>
      </c>
      <c r="K197" s="32">
        <v>15.8</v>
      </c>
      <c r="L197" s="32">
        <v>15.8</v>
      </c>
      <c r="M197" s="32">
        <v>15.8</v>
      </c>
      <c r="N197" s="86"/>
      <c r="O197" s="86"/>
    </row>
    <row r="198" spans="1:15" ht="15">
      <c r="A198" s="49" t="s">
        <v>180</v>
      </c>
      <c r="B198" s="28" t="s">
        <v>163</v>
      </c>
      <c r="C198" s="29">
        <v>1</v>
      </c>
      <c r="D198" s="44"/>
      <c r="E198" s="44"/>
      <c r="F198" s="44"/>
      <c r="G198" s="31"/>
      <c r="H198" s="32"/>
      <c r="I198" s="32"/>
      <c r="J198" s="32"/>
      <c r="K198" s="32"/>
      <c r="L198" s="32"/>
      <c r="M198" s="32"/>
      <c r="N198" s="86"/>
      <c r="O198" s="86"/>
    </row>
    <row r="199" spans="1:15" ht="21">
      <c r="A199" s="75" t="s">
        <v>181</v>
      </c>
      <c r="B199" s="28" t="s">
        <v>12</v>
      </c>
      <c r="C199" s="29">
        <v>1</v>
      </c>
      <c r="D199" s="44"/>
      <c r="E199" s="44"/>
      <c r="F199" s="44"/>
      <c r="G199" s="31">
        <v>0.16</v>
      </c>
      <c r="H199" s="32">
        <v>0.16</v>
      </c>
      <c r="I199" s="32">
        <v>0.16</v>
      </c>
      <c r="J199" s="32">
        <v>0.16800000000000001</v>
      </c>
      <c r="K199" s="32">
        <v>0.16</v>
      </c>
      <c r="L199" s="32">
        <v>0.16</v>
      </c>
      <c r="M199" s="32">
        <v>0.16</v>
      </c>
      <c r="N199" s="86"/>
      <c r="O199" s="86"/>
    </row>
    <row r="200" spans="1:15" ht="15">
      <c r="A200" s="75" t="s">
        <v>182</v>
      </c>
      <c r="B200" s="28" t="s">
        <v>12</v>
      </c>
      <c r="C200" s="29">
        <v>1</v>
      </c>
      <c r="D200" s="44"/>
      <c r="E200" s="44"/>
      <c r="F200" s="44"/>
      <c r="G200" s="31"/>
      <c r="H200" s="32"/>
      <c r="I200" s="32"/>
      <c r="J200" s="32">
        <f>J197-J201-J199</f>
        <v>2.501999999999998</v>
      </c>
      <c r="K200" s="32"/>
      <c r="L200" s="32"/>
      <c r="M200" s="32"/>
      <c r="N200" s="87"/>
      <c r="O200" s="87"/>
    </row>
    <row r="201" spans="1:15" ht="42">
      <c r="A201" s="75" t="s">
        <v>183</v>
      </c>
      <c r="B201" s="28" t="s">
        <v>12</v>
      </c>
      <c r="C201" s="29">
        <v>1</v>
      </c>
      <c r="D201" s="44"/>
      <c r="E201" s="44"/>
      <c r="F201" s="44"/>
      <c r="G201" s="31">
        <f>G197-G199</f>
        <v>15.64</v>
      </c>
      <c r="H201" s="32">
        <f>H197-H199</f>
        <v>15.64</v>
      </c>
      <c r="I201" s="32">
        <v>15.64</v>
      </c>
      <c r="J201" s="32">
        <v>15.8</v>
      </c>
      <c r="K201" s="32">
        <v>15.64</v>
      </c>
      <c r="L201" s="32">
        <v>15.64</v>
      </c>
      <c r="M201" s="32">
        <v>15.64</v>
      </c>
      <c r="N201" s="87"/>
      <c r="O201" s="87"/>
    </row>
    <row r="202" spans="1:15" ht="21">
      <c r="A202" s="27" t="s">
        <v>184</v>
      </c>
      <c r="B202" s="28" t="s">
        <v>12</v>
      </c>
      <c r="C202" s="29">
        <v>1</v>
      </c>
      <c r="D202" s="44"/>
      <c r="E202" s="44"/>
      <c r="F202" s="44"/>
      <c r="G202" s="31">
        <v>0.92</v>
      </c>
      <c r="H202" s="32">
        <v>0.92</v>
      </c>
      <c r="I202" s="32">
        <v>1.6</v>
      </c>
      <c r="J202" s="32">
        <v>1.74</v>
      </c>
      <c r="K202" s="32">
        <v>1.7</v>
      </c>
      <c r="L202" s="32">
        <v>1.68</v>
      </c>
      <c r="M202" s="32">
        <v>1.68</v>
      </c>
    </row>
    <row r="203" spans="1:15" ht="31.5" customHeight="1">
      <c r="A203" s="27" t="s">
        <v>185</v>
      </c>
      <c r="B203" s="28" t="s">
        <v>12</v>
      </c>
      <c r="C203" s="29">
        <v>1</v>
      </c>
      <c r="D203" s="44"/>
      <c r="E203" s="44"/>
      <c r="F203" s="44"/>
      <c r="G203" s="31">
        <v>3.7</v>
      </c>
      <c r="H203" s="32">
        <v>3.3</v>
      </c>
      <c r="I203" s="32">
        <f>66.58</f>
        <v>66.58</v>
      </c>
      <c r="J203" s="32">
        <f>66.58</f>
        <v>66.58</v>
      </c>
      <c r="K203" s="32">
        <f>66.58</f>
        <v>66.58</v>
      </c>
      <c r="L203" s="32">
        <f>66.58</f>
        <v>66.58</v>
      </c>
      <c r="M203" s="32">
        <f>66.58</f>
        <v>66.58</v>
      </c>
    </row>
    <row r="204" spans="1:15" ht="12.75">
      <c r="A204" s="27" t="s">
        <v>186</v>
      </c>
      <c r="B204" s="28" t="s">
        <v>187</v>
      </c>
      <c r="C204" s="29">
        <v>1</v>
      </c>
      <c r="D204" s="44"/>
      <c r="E204" s="44"/>
      <c r="F204" s="44"/>
      <c r="G204" s="31">
        <v>9.02</v>
      </c>
      <c r="H204" s="32">
        <v>9.02</v>
      </c>
      <c r="I204" s="32">
        <v>8.9</v>
      </c>
      <c r="J204" s="82">
        <v>10.1</v>
      </c>
      <c r="K204" s="32">
        <v>8.9</v>
      </c>
      <c r="L204" s="32">
        <v>8.9</v>
      </c>
      <c r="M204" s="32">
        <v>8.9</v>
      </c>
    </row>
    <row r="205" spans="1:15" ht="12.75">
      <c r="A205" s="27" t="s">
        <v>188</v>
      </c>
      <c r="B205" s="28" t="s">
        <v>187</v>
      </c>
      <c r="C205" s="29">
        <v>1</v>
      </c>
      <c r="D205" s="44"/>
      <c r="E205" s="44"/>
      <c r="F205" s="44"/>
      <c r="G205" s="31">
        <v>2.75</v>
      </c>
      <c r="H205" s="32">
        <v>2.75</v>
      </c>
      <c r="I205" s="32">
        <v>2.4</v>
      </c>
      <c r="J205" s="32">
        <v>2.4300000000000002</v>
      </c>
      <c r="K205" s="32">
        <v>2.4</v>
      </c>
      <c r="L205" s="32">
        <v>2.4</v>
      </c>
      <c r="M205" s="32">
        <v>2.4</v>
      </c>
    </row>
    <row r="206" spans="1:15" ht="12.75">
      <c r="A206" s="27" t="s">
        <v>189</v>
      </c>
      <c r="B206" s="28" t="s">
        <v>12</v>
      </c>
      <c r="C206" s="29">
        <v>1</v>
      </c>
      <c r="D206" s="44"/>
      <c r="E206" s="44"/>
      <c r="F206" s="44"/>
      <c r="G206" s="31">
        <v>3.2</v>
      </c>
      <c r="H206" s="32">
        <v>3.3</v>
      </c>
      <c r="I206" s="32">
        <v>2.92</v>
      </c>
      <c r="J206" s="82">
        <v>3.278</v>
      </c>
      <c r="K206" s="32">
        <v>2.92</v>
      </c>
      <c r="L206" s="32">
        <v>2.92</v>
      </c>
      <c r="M206" s="32">
        <v>2.92</v>
      </c>
    </row>
    <row r="207" spans="1:15" ht="31.5">
      <c r="A207" s="27" t="s">
        <v>190</v>
      </c>
      <c r="B207" s="28" t="s">
        <v>12</v>
      </c>
      <c r="C207" s="29">
        <v>1</v>
      </c>
      <c r="D207" s="44"/>
      <c r="E207" s="84"/>
      <c r="F207" s="44"/>
      <c r="G207" s="31">
        <v>0.99</v>
      </c>
      <c r="H207" s="32">
        <v>0.99</v>
      </c>
      <c r="I207" s="32">
        <v>0.79</v>
      </c>
      <c r="J207" s="32">
        <v>0.78600000000000003</v>
      </c>
      <c r="K207" s="32">
        <v>0.79</v>
      </c>
      <c r="L207" s="32">
        <v>0.79</v>
      </c>
      <c r="M207" s="32">
        <v>0.79</v>
      </c>
    </row>
    <row r="208" spans="1:15" ht="12.75">
      <c r="A208" s="27" t="s">
        <v>191</v>
      </c>
      <c r="B208" s="28" t="s">
        <v>12</v>
      </c>
      <c r="C208" s="29">
        <v>1</v>
      </c>
      <c r="D208" s="44"/>
      <c r="E208" s="44"/>
      <c r="F208" s="44"/>
      <c r="G208" s="31">
        <v>6.569</v>
      </c>
      <c r="H208" s="32">
        <v>6.569</v>
      </c>
      <c r="I208" s="32">
        <v>3.97</v>
      </c>
      <c r="J208" s="32">
        <v>3.97</v>
      </c>
      <c r="K208" s="32">
        <v>3.97</v>
      </c>
      <c r="L208" s="32">
        <v>3.97</v>
      </c>
      <c r="M208" s="32">
        <v>3.97</v>
      </c>
    </row>
    <row r="209" spans="1:14" ht="12.75">
      <c r="A209" s="27" t="s">
        <v>192</v>
      </c>
      <c r="B209" s="28" t="s">
        <v>29</v>
      </c>
      <c r="C209" s="29">
        <v>1</v>
      </c>
      <c r="D209" s="44"/>
      <c r="E209" s="44"/>
      <c r="F209" s="44"/>
      <c r="G209" s="31">
        <v>422.3</v>
      </c>
      <c r="H209" s="32">
        <v>500.48</v>
      </c>
      <c r="I209" s="32">
        <v>516.1</v>
      </c>
      <c r="J209" s="32">
        <v>885</v>
      </c>
      <c r="K209" s="32">
        <f t="shared" ref="K209:M210" si="11">J209*1.05</f>
        <v>929.25</v>
      </c>
      <c r="L209" s="32">
        <f t="shared" si="11"/>
        <v>975.71250000000009</v>
      </c>
      <c r="M209" s="32">
        <f t="shared" si="11"/>
        <v>1024.4981250000001</v>
      </c>
    </row>
    <row r="210" spans="1:14" ht="12.75">
      <c r="A210" s="27" t="s">
        <v>193</v>
      </c>
      <c r="B210" s="28" t="s">
        <v>29</v>
      </c>
      <c r="C210" s="29">
        <v>1</v>
      </c>
      <c r="D210" s="44"/>
      <c r="E210" s="44"/>
      <c r="F210" s="44"/>
      <c r="G210" s="31">
        <v>1529.4</v>
      </c>
      <c r="H210" s="32">
        <v>1680.5</v>
      </c>
      <c r="I210" s="32">
        <v>2062.4</v>
      </c>
      <c r="J210" s="32">
        <v>2178.1999999999998</v>
      </c>
      <c r="K210" s="32">
        <f t="shared" si="11"/>
        <v>2287.11</v>
      </c>
      <c r="L210" s="32">
        <f t="shared" si="11"/>
        <v>2401.4655000000002</v>
      </c>
      <c r="M210" s="32">
        <f t="shared" si="11"/>
        <v>2521.5387750000004</v>
      </c>
    </row>
    <row r="211" spans="1:14" ht="14.25">
      <c r="A211" s="37" t="s">
        <v>194</v>
      </c>
      <c r="B211" s="28"/>
      <c r="C211" s="29"/>
      <c r="D211" s="44"/>
      <c r="E211" s="44"/>
      <c r="F211" s="44"/>
      <c r="G211" s="31"/>
      <c r="H211" s="32"/>
      <c r="I211" s="32"/>
      <c r="J211" s="32"/>
      <c r="K211" s="32"/>
      <c r="L211" s="32"/>
      <c r="M211" s="32"/>
    </row>
    <row r="212" spans="1:14" ht="21">
      <c r="A212" s="27" t="s">
        <v>195</v>
      </c>
      <c r="B212" s="28" t="s">
        <v>196</v>
      </c>
      <c r="C212" s="29">
        <v>1</v>
      </c>
      <c r="D212" s="30"/>
      <c r="E212" s="30"/>
      <c r="F212" s="30"/>
      <c r="G212" s="31">
        <v>670</v>
      </c>
      <c r="H212" s="32">
        <v>670</v>
      </c>
      <c r="I212" s="32">
        <v>670</v>
      </c>
      <c r="J212" s="32">
        <v>670</v>
      </c>
      <c r="K212" s="32">
        <f>J212+50+50</f>
        <v>770</v>
      </c>
      <c r="L212" s="32">
        <f>K212+100</f>
        <v>870</v>
      </c>
      <c r="M212" s="32">
        <f>L212</f>
        <v>870</v>
      </c>
    </row>
    <row r="213" spans="1:14" ht="12.75">
      <c r="A213" s="88" t="s">
        <v>197</v>
      </c>
      <c r="B213" s="28"/>
      <c r="C213" s="29"/>
      <c r="D213" s="44"/>
      <c r="E213" s="44"/>
      <c r="F213" s="44"/>
      <c r="G213" s="57"/>
      <c r="H213" s="32"/>
      <c r="I213" s="32"/>
      <c r="J213" s="32"/>
      <c r="K213" s="32"/>
      <c r="L213" s="32"/>
      <c r="M213" s="32"/>
    </row>
    <row r="214" spans="1:14" ht="24.75" customHeight="1">
      <c r="A214" s="49" t="s">
        <v>198</v>
      </c>
      <c r="B214" s="28" t="s">
        <v>196</v>
      </c>
      <c r="C214" s="29">
        <v>1</v>
      </c>
      <c r="D214" s="44"/>
      <c r="E214" s="44"/>
      <c r="F214" s="44"/>
      <c r="G214" s="31">
        <v>9622</v>
      </c>
      <c r="H214" s="32">
        <v>10079</v>
      </c>
      <c r="I214" s="32">
        <v>10073</v>
      </c>
      <c r="J214" s="32">
        <v>10013</v>
      </c>
      <c r="K214" s="32">
        <v>10023</v>
      </c>
      <c r="L214" s="32">
        <v>10023</v>
      </c>
      <c r="M214" s="32">
        <v>10023</v>
      </c>
    </row>
    <row r="215" spans="1:14" ht="12.75">
      <c r="A215" s="49" t="s">
        <v>199</v>
      </c>
      <c r="B215" s="28" t="s">
        <v>196</v>
      </c>
      <c r="C215" s="29">
        <v>1</v>
      </c>
      <c r="D215" s="44"/>
      <c r="E215" s="84"/>
      <c r="F215" s="44"/>
      <c r="G215" s="31">
        <f>704+9</f>
        <v>713</v>
      </c>
      <c r="H215" s="32">
        <v>495</v>
      </c>
      <c r="I215" s="32">
        <f>10566-I214</f>
        <v>493</v>
      </c>
      <c r="J215" s="32">
        <f>103+346</f>
        <v>449</v>
      </c>
      <c r="K215" s="32">
        <v>445</v>
      </c>
      <c r="L215" s="32">
        <v>445</v>
      </c>
      <c r="M215" s="32">
        <v>445</v>
      </c>
    </row>
    <row r="216" spans="1:14" ht="12.75">
      <c r="A216" s="49" t="s">
        <v>200</v>
      </c>
      <c r="B216" s="28" t="s">
        <v>196</v>
      </c>
      <c r="C216" s="29">
        <v>1</v>
      </c>
      <c r="D216" s="44"/>
      <c r="E216" s="44"/>
      <c r="F216" s="44"/>
      <c r="G216" s="31"/>
      <c r="H216" s="32">
        <v>0</v>
      </c>
      <c r="I216" s="32">
        <v>0</v>
      </c>
      <c r="J216" s="32">
        <v>0</v>
      </c>
      <c r="K216" s="32">
        <v>0</v>
      </c>
      <c r="L216" s="32">
        <v>0</v>
      </c>
      <c r="M216" s="32">
        <v>0</v>
      </c>
    </row>
    <row r="217" spans="1:14" ht="31.5">
      <c r="A217" s="27" t="s">
        <v>201</v>
      </c>
      <c r="B217" s="28" t="s">
        <v>202</v>
      </c>
      <c r="C217" s="29">
        <v>1</v>
      </c>
      <c r="D217" s="44"/>
      <c r="E217" s="44"/>
      <c r="F217" s="44"/>
      <c r="G217" s="31">
        <f>7255/9622*100</f>
        <v>75.400124714196636</v>
      </c>
      <c r="H217" s="32">
        <v>76.05</v>
      </c>
      <c r="I217" s="32">
        <f>7827/I214*100</f>
        <v>77.702769780601614</v>
      </c>
      <c r="J217" s="32">
        <v>77.7</v>
      </c>
      <c r="K217" s="32">
        <v>77.7</v>
      </c>
      <c r="L217" s="32">
        <v>78.5</v>
      </c>
      <c r="M217" s="32">
        <v>78.5</v>
      </c>
    </row>
    <row r="218" spans="1:14" ht="19.5">
      <c r="A218" s="61" t="s">
        <v>203</v>
      </c>
      <c r="B218" s="89" t="s">
        <v>204</v>
      </c>
      <c r="C218" s="29">
        <v>1</v>
      </c>
      <c r="D218" s="44"/>
      <c r="E218" s="44"/>
      <c r="F218" s="44"/>
      <c r="G218" s="31">
        <v>18.04</v>
      </c>
      <c r="H218" s="32">
        <v>15</v>
      </c>
      <c r="I218" s="32">
        <v>20.6</v>
      </c>
      <c r="J218" s="32">
        <v>20.7</v>
      </c>
      <c r="K218" s="32">
        <v>21.45</v>
      </c>
      <c r="L218" s="32">
        <v>21.45</v>
      </c>
      <c r="M218" s="32">
        <v>21.45</v>
      </c>
    </row>
    <row r="219" spans="1:14" ht="13.5" customHeight="1">
      <c r="A219" s="27" t="s">
        <v>205</v>
      </c>
      <c r="B219" s="89"/>
      <c r="C219" s="29"/>
      <c r="D219" s="44"/>
      <c r="E219" s="44"/>
      <c r="F219" s="44"/>
      <c r="G219" s="31"/>
      <c r="H219" s="32"/>
      <c r="I219" s="32"/>
      <c r="J219" s="32"/>
      <c r="K219" s="32"/>
      <c r="L219" s="32"/>
      <c r="M219" s="32"/>
    </row>
    <row r="220" spans="1:14" ht="19.5">
      <c r="A220" s="49" t="s">
        <v>206</v>
      </c>
      <c r="B220" s="89" t="s">
        <v>204</v>
      </c>
      <c r="C220" s="29">
        <v>1</v>
      </c>
      <c r="D220" s="44"/>
      <c r="E220" s="44"/>
      <c r="F220" s="44"/>
      <c r="G220" s="90" t="s">
        <v>39</v>
      </c>
      <c r="H220" s="32" t="s">
        <v>39</v>
      </c>
      <c r="I220" s="32">
        <v>1.56</v>
      </c>
      <c r="J220" s="32">
        <f>1450.72/1000</f>
        <v>1.45072</v>
      </c>
      <c r="K220" s="32">
        <f>1475.72/1000</f>
        <v>1.4757199999999999</v>
      </c>
      <c r="L220" s="32">
        <f>1475.72/1000</f>
        <v>1.4757199999999999</v>
      </c>
      <c r="M220" s="32">
        <f>1475.72/1000</f>
        <v>1.4757199999999999</v>
      </c>
    </row>
    <row r="221" spans="1:14" ht="27" customHeight="1">
      <c r="A221" s="49" t="s">
        <v>207</v>
      </c>
      <c r="B221" s="89" t="s">
        <v>204</v>
      </c>
      <c r="C221" s="29">
        <v>1</v>
      </c>
      <c r="D221" s="44"/>
      <c r="E221" s="44"/>
      <c r="F221" s="44"/>
      <c r="G221" s="90" t="s">
        <v>39</v>
      </c>
      <c r="H221" s="32" t="s">
        <v>39</v>
      </c>
      <c r="I221" s="32"/>
      <c r="J221" s="32"/>
      <c r="K221" s="32"/>
      <c r="L221" s="32"/>
      <c r="M221" s="32"/>
    </row>
    <row r="222" spans="1:14" ht="39" customHeight="1">
      <c r="A222" s="49" t="s">
        <v>208</v>
      </c>
      <c r="B222" s="89" t="s">
        <v>204</v>
      </c>
      <c r="C222" s="29">
        <v>1</v>
      </c>
      <c r="D222" s="44"/>
      <c r="E222" s="44"/>
      <c r="F222" s="44"/>
      <c r="G222" s="31">
        <v>18.04</v>
      </c>
      <c r="H222" s="32">
        <v>15</v>
      </c>
      <c r="I222" s="32">
        <v>19.04</v>
      </c>
      <c r="J222" s="32">
        <v>20.7</v>
      </c>
      <c r="K222" s="32">
        <v>20.399999999999999</v>
      </c>
      <c r="L222" s="32">
        <v>20.6</v>
      </c>
      <c r="M222" s="32">
        <v>20.6</v>
      </c>
      <c r="N222" s="91"/>
    </row>
    <row r="223" spans="1:14" ht="12.75">
      <c r="A223" s="92" t="s">
        <v>136</v>
      </c>
      <c r="B223" s="33"/>
      <c r="C223" s="29"/>
      <c r="D223" s="44"/>
      <c r="E223" s="44"/>
      <c r="F223" s="44"/>
      <c r="G223" s="31"/>
      <c r="H223" s="32"/>
      <c r="I223" s="32"/>
      <c r="J223" s="32"/>
      <c r="K223" s="32"/>
      <c r="L223" s="32"/>
      <c r="M223" s="32"/>
    </row>
    <row r="224" spans="1:14" ht="35.25" customHeight="1">
      <c r="A224" s="49" t="s">
        <v>209</v>
      </c>
      <c r="B224" s="28" t="s">
        <v>210</v>
      </c>
      <c r="C224" s="29">
        <v>1</v>
      </c>
      <c r="D224" s="44"/>
      <c r="E224" s="44"/>
      <c r="F224" s="44"/>
      <c r="G224" s="31">
        <f>1154.44/G6</f>
        <v>18.30120481927711</v>
      </c>
      <c r="H224" s="32">
        <f>1169.4/H6</f>
        <v>17.971415398801295</v>
      </c>
      <c r="I224" s="32">
        <v>18.93</v>
      </c>
      <c r="J224" s="32">
        <v>19</v>
      </c>
      <c r="K224" s="32">
        <v>18.600000000000001</v>
      </c>
      <c r="L224" s="32">
        <v>18.8</v>
      </c>
      <c r="M224" s="32">
        <v>18.93</v>
      </c>
    </row>
    <row r="225" spans="1:18" ht="35.25" customHeight="1">
      <c r="A225" s="49" t="s">
        <v>211</v>
      </c>
      <c r="B225" s="28" t="s">
        <v>212</v>
      </c>
      <c r="C225" s="29">
        <v>1</v>
      </c>
      <c r="D225" s="44"/>
      <c r="E225" s="44"/>
      <c r="F225" s="44"/>
      <c r="G225" s="71">
        <v>338642.9</v>
      </c>
      <c r="H225" s="82">
        <v>336640</v>
      </c>
      <c r="I225" s="82">
        <v>404912</v>
      </c>
      <c r="J225" s="82">
        <f>I225*1.04</f>
        <v>421108.48000000004</v>
      </c>
      <c r="K225" s="82">
        <f>J225*1.04</f>
        <v>437952.81920000003</v>
      </c>
      <c r="L225" s="82">
        <f>K225*1.04</f>
        <v>455470.93196800002</v>
      </c>
      <c r="M225" s="82">
        <f>L225*1.04</f>
        <v>473689.76924672001</v>
      </c>
      <c r="N225" s="76"/>
    </row>
    <row r="226" spans="1:18" ht="35.25" customHeight="1">
      <c r="A226" s="49" t="s">
        <v>213</v>
      </c>
      <c r="B226" s="28" t="s">
        <v>187</v>
      </c>
      <c r="C226" s="29">
        <v>1</v>
      </c>
      <c r="D226" s="44"/>
      <c r="E226" s="44"/>
      <c r="F226" s="44"/>
      <c r="G226" s="93">
        <v>76.3</v>
      </c>
      <c r="H226" s="32">
        <v>38.9</v>
      </c>
      <c r="I226" s="32">
        <v>40.75</v>
      </c>
      <c r="J226" s="32">
        <v>47.1</v>
      </c>
      <c r="K226" s="32">
        <v>49</v>
      </c>
      <c r="L226" s="32">
        <v>49.8</v>
      </c>
      <c r="M226" s="32">
        <v>55</v>
      </c>
    </row>
    <row r="227" spans="1:18" ht="35.25" customHeight="1">
      <c r="A227" s="27" t="s">
        <v>214</v>
      </c>
      <c r="B227" s="28" t="s">
        <v>215</v>
      </c>
      <c r="C227" s="29">
        <v>1</v>
      </c>
      <c r="D227" s="44"/>
      <c r="E227" s="44"/>
      <c r="F227" s="44"/>
      <c r="G227" s="31">
        <v>7.78</v>
      </c>
      <c r="H227" s="32">
        <v>7.8</v>
      </c>
      <c r="I227" s="32">
        <v>8.27</v>
      </c>
      <c r="J227" s="32">
        <v>8.61</v>
      </c>
      <c r="K227" s="32">
        <f>J227+0.05</f>
        <v>8.66</v>
      </c>
      <c r="L227" s="32">
        <f>K227+0.05</f>
        <v>8.7100000000000009</v>
      </c>
      <c r="M227" s="32">
        <f>L227+0.05</f>
        <v>8.7600000000000016</v>
      </c>
    </row>
    <row r="228" spans="1:18" ht="35.25" customHeight="1">
      <c r="A228" s="27" t="s">
        <v>214</v>
      </c>
      <c r="B228" s="28" t="s">
        <v>216</v>
      </c>
      <c r="C228" s="29">
        <v>1</v>
      </c>
      <c r="D228" s="44"/>
      <c r="E228" s="44"/>
      <c r="F228" s="44"/>
      <c r="G228" s="94">
        <f t="shared" ref="G228:M228" si="12">G227/G6*1000</f>
        <v>123.33544705136336</v>
      </c>
      <c r="H228" s="32">
        <f t="shared" si="12"/>
        <v>119.87090825265099</v>
      </c>
      <c r="I228" s="32">
        <f t="shared" si="12"/>
        <v>125.62661400577244</v>
      </c>
      <c r="J228" s="32">
        <f>J227/J6*1000</f>
        <v>128.89221556886227</v>
      </c>
      <c r="K228" s="32">
        <f>K227/K6*1000</f>
        <v>127.16593245227608</v>
      </c>
      <c r="L228" s="32">
        <f t="shared" si="12"/>
        <v>125.50432276657064</v>
      </c>
      <c r="M228" s="32">
        <f t="shared" si="12"/>
        <v>123.72881355932206</v>
      </c>
    </row>
    <row r="229" spans="1:18" ht="12.75">
      <c r="A229" s="95" t="s">
        <v>217</v>
      </c>
      <c r="B229" s="96" t="s">
        <v>212</v>
      </c>
      <c r="C229" s="97"/>
      <c r="D229" s="98"/>
      <c r="E229" s="99"/>
      <c r="F229" s="97"/>
      <c r="G229" s="100"/>
      <c r="H229" s="101">
        <v>563277.5</v>
      </c>
      <c r="I229" s="101">
        <v>640662</v>
      </c>
      <c r="J229" s="101">
        <v>673938.19</v>
      </c>
      <c r="K229" s="101">
        <v>752632</v>
      </c>
      <c r="L229" s="101">
        <v>829109</v>
      </c>
      <c r="M229" s="101">
        <v>914412</v>
      </c>
      <c r="N229" s="50"/>
      <c r="O229" s="50"/>
      <c r="P229" s="50"/>
      <c r="Q229" s="50"/>
      <c r="R229" s="50"/>
    </row>
    <row r="230" spans="1:18" ht="12.75">
      <c r="A230" s="27" t="s">
        <v>13</v>
      </c>
      <c r="B230" s="33" t="s">
        <v>14</v>
      </c>
      <c r="C230" s="97"/>
      <c r="D230" s="98"/>
      <c r="E230" s="99"/>
      <c r="F230" s="97"/>
      <c r="G230" s="100"/>
      <c r="H230" s="102">
        <v>107.1</v>
      </c>
      <c r="I230" s="102">
        <f>I229/H229*100/I231*100</f>
        <v>104.15591128472437</v>
      </c>
      <c r="J230" s="102">
        <f>J229/I229*100/J231*100</f>
        <v>98.681080779114126</v>
      </c>
      <c r="K230" s="102">
        <f>K229/J229*100/K231*100</f>
        <v>105.15697767699822</v>
      </c>
      <c r="L230" s="102">
        <f>L229/K229*100/L231*100</f>
        <v>103.73001321624375</v>
      </c>
      <c r="M230" s="102">
        <f>M229/L229*100/M231*100</f>
        <v>104.24245230424904</v>
      </c>
    </row>
    <row r="231" spans="1:18" ht="12.75">
      <c r="A231" s="27" t="s">
        <v>15</v>
      </c>
      <c r="B231" s="33" t="s">
        <v>14</v>
      </c>
      <c r="C231" s="97"/>
      <c r="D231" s="98"/>
      <c r="E231" s="99"/>
      <c r="F231" s="97"/>
      <c r="G231" s="100"/>
      <c r="H231" s="102">
        <v>106.7</v>
      </c>
      <c r="I231" s="102">
        <v>109.2</v>
      </c>
      <c r="J231" s="102">
        <v>106.6</v>
      </c>
      <c r="K231" s="102">
        <v>106.2</v>
      </c>
      <c r="L231" s="102">
        <v>106.2</v>
      </c>
      <c r="M231" s="102">
        <v>105.8</v>
      </c>
    </row>
    <row r="232" spans="1:18" ht="18.75">
      <c r="A232" s="103"/>
      <c r="B232" s="104"/>
      <c r="C232" s="105"/>
      <c r="D232" s="106"/>
      <c r="E232" s="107"/>
      <c r="F232" s="105"/>
      <c r="L232" s="108"/>
      <c r="M232" s="108"/>
    </row>
    <row r="233" spans="1:18" ht="28.5" customHeight="1">
      <c r="A233" s="109" t="s">
        <v>218</v>
      </c>
      <c r="B233" s="109"/>
      <c r="C233" s="109"/>
      <c r="D233" s="109"/>
      <c r="E233" s="109"/>
      <c r="F233" s="109"/>
      <c r="G233" s="109"/>
      <c r="H233" s="109"/>
      <c r="I233" s="109"/>
      <c r="J233" s="109"/>
      <c r="K233" s="109"/>
      <c r="L233" s="109"/>
      <c r="M233" s="109"/>
      <c r="N233" s="109"/>
      <c r="O233" s="109"/>
    </row>
    <row r="234" spans="1:18" ht="16.5" customHeight="1">
      <c r="A234" s="110"/>
      <c r="B234" s="110"/>
      <c r="C234" s="110"/>
      <c r="D234" s="110"/>
      <c r="E234" s="110"/>
      <c r="F234" s="110"/>
      <c r="G234" s="110"/>
      <c r="H234" s="110"/>
      <c r="I234" s="110"/>
      <c r="J234" s="110"/>
      <c r="K234" s="110"/>
      <c r="L234" s="110"/>
      <c r="M234" s="110"/>
    </row>
    <row r="235" spans="1:18" ht="16.5" customHeight="1">
      <c r="A235" s="110"/>
      <c r="B235" s="110"/>
      <c r="C235" s="110"/>
      <c r="D235" s="110"/>
      <c r="E235" s="110"/>
      <c r="F235" s="110"/>
      <c r="G235" s="110"/>
      <c r="H235" s="110"/>
      <c r="I235" s="110"/>
      <c r="J235" s="110"/>
      <c r="K235" s="110"/>
      <c r="L235" s="110"/>
      <c r="M235" s="110"/>
    </row>
    <row r="236" spans="1:18" ht="16.5" customHeight="1">
      <c r="A236" s="110"/>
      <c r="B236" s="110"/>
      <c r="C236" s="110"/>
      <c r="D236" s="110"/>
      <c r="E236" s="110"/>
      <c r="F236" s="110"/>
      <c r="G236" s="110"/>
      <c r="H236" s="110"/>
      <c r="I236" s="110"/>
      <c r="J236" s="110"/>
      <c r="K236" s="110"/>
      <c r="L236" s="110"/>
      <c r="M236" s="110"/>
    </row>
    <row r="237" spans="1:18" ht="56.25" customHeight="1">
      <c r="A237" s="110"/>
      <c r="B237" s="110"/>
      <c r="C237" s="110"/>
      <c r="D237" s="110"/>
      <c r="E237" s="110"/>
      <c r="F237" s="110"/>
      <c r="G237" s="110"/>
      <c r="H237" s="110"/>
      <c r="I237" s="110"/>
      <c r="J237" s="110"/>
      <c r="K237" s="110"/>
      <c r="L237" s="110"/>
      <c r="M237" s="110"/>
    </row>
    <row r="238" spans="1:18" ht="56.25" customHeight="1">
      <c r="A238" s="110"/>
      <c r="B238" s="110"/>
      <c r="C238" s="110"/>
      <c r="D238" s="110"/>
      <c r="E238" s="110"/>
      <c r="F238" s="110"/>
      <c r="G238" s="110"/>
      <c r="H238" s="110"/>
      <c r="I238" s="110"/>
      <c r="J238" s="110"/>
      <c r="K238" s="110"/>
      <c r="L238" s="110"/>
      <c r="M238" s="110"/>
    </row>
    <row r="239" spans="1:18" ht="56.25" customHeight="1">
      <c r="A239" s="110"/>
      <c r="B239" s="110"/>
      <c r="C239" s="110"/>
      <c r="D239" s="110"/>
      <c r="E239" s="110"/>
      <c r="F239" s="110"/>
      <c r="G239" s="110"/>
      <c r="H239" s="110"/>
      <c r="I239" s="110"/>
      <c r="J239" s="110"/>
      <c r="K239" s="110"/>
      <c r="L239" s="110"/>
      <c r="M239" s="110"/>
    </row>
    <row r="240" spans="1:18" ht="56.25" customHeight="1">
      <c r="A240" s="110"/>
      <c r="B240" s="110"/>
      <c r="C240" s="110"/>
      <c r="D240" s="110"/>
      <c r="E240" s="110"/>
      <c r="F240" s="110"/>
      <c r="G240" s="110"/>
      <c r="H240" s="110"/>
      <c r="I240" s="110"/>
      <c r="J240" s="110"/>
      <c r="K240" s="110"/>
      <c r="L240" s="110"/>
      <c r="M240" s="110"/>
    </row>
    <row r="241" spans="1:13" ht="56.25" customHeight="1">
      <c r="A241" s="110"/>
      <c r="B241" s="110"/>
      <c r="C241" s="110"/>
      <c r="D241" s="110"/>
      <c r="E241" s="110"/>
      <c r="F241" s="110"/>
      <c r="G241" s="110"/>
      <c r="H241" s="110"/>
      <c r="I241" s="110"/>
      <c r="J241" s="110"/>
      <c r="K241" s="110"/>
      <c r="L241" s="110"/>
      <c r="M241" s="110"/>
    </row>
    <row r="242" spans="1:13" ht="18.75">
      <c r="A242" s="111"/>
      <c r="B242" s="104"/>
      <c r="C242" s="105"/>
      <c r="D242" s="106"/>
      <c r="E242" s="107"/>
      <c r="F242" s="105"/>
      <c r="G242" s="108"/>
      <c r="H242" s="108"/>
      <c r="I242" s="108"/>
      <c r="J242" s="108"/>
      <c r="K242" s="108"/>
      <c r="L242" s="108"/>
      <c r="M242" s="108"/>
    </row>
    <row r="243" spans="1:13" ht="18.75">
      <c r="A243" s="111"/>
      <c r="B243" s="104"/>
      <c r="C243" s="105"/>
      <c r="D243" s="106"/>
      <c r="E243" s="107"/>
      <c r="F243" s="105"/>
      <c r="G243" s="108"/>
      <c r="H243" s="108"/>
      <c r="I243" s="108"/>
      <c r="J243" s="108"/>
      <c r="K243" s="108"/>
      <c r="L243" s="108"/>
      <c r="M243" s="108"/>
    </row>
    <row r="244" spans="1:13" ht="18.75">
      <c r="A244" s="111"/>
      <c r="B244" s="104"/>
      <c r="C244" s="105"/>
      <c r="D244" s="106"/>
      <c r="E244" s="107"/>
      <c r="F244" s="105"/>
      <c r="G244" s="108"/>
      <c r="H244" s="108"/>
      <c r="I244" s="108"/>
      <c r="J244" s="108"/>
      <c r="K244" s="108"/>
      <c r="L244" s="108"/>
      <c r="M244" s="108"/>
    </row>
    <row r="245" spans="1:13" ht="18.75">
      <c r="A245" s="111"/>
      <c r="B245" s="104"/>
      <c r="C245" s="105"/>
      <c r="D245" s="106"/>
      <c r="E245" s="107"/>
      <c r="F245" s="105"/>
      <c r="G245" s="108"/>
      <c r="H245" s="108"/>
      <c r="I245" s="108"/>
      <c r="J245" s="108"/>
      <c r="K245" s="108"/>
      <c r="L245" s="108"/>
      <c r="M245" s="108"/>
    </row>
    <row r="246" spans="1:13" ht="18.75">
      <c r="A246" s="111"/>
      <c r="B246" s="104"/>
      <c r="C246" s="105"/>
      <c r="D246" s="106"/>
      <c r="E246" s="107"/>
      <c r="F246" s="105"/>
      <c r="G246" s="108"/>
      <c r="H246" s="108"/>
      <c r="I246" s="108"/>
      <c r="J246" s="108"/>
      <c r="K246" s="108"/>
      <c r="L246" s="108"/>
      <c r="M246" s="108"/>
    </row>
    <row r="247" spans="1:13">
      <c r="A247" s="104"/>
      <c r="B247" s="104"/>
      <c r="C247" s="105"/>
      <c r="D247" s="106"/>
      <c r="E247" s="107"/>
      <c r="F247" s="105"/>
      <c r="G247" s="108"/>
      <c r="H247" s="108"/>
      <c r="I247" s="108"/>
      <c r="J247" s="108"/>
      <c r="K247" s="108"/>
      <c r="L247" s="108"/>
      <c r="M247" s="108"/>
    </row>
    <row r="248" spans="1:13">
      <c r="A248" s="104"/>
      <c r="B248" s="104"/>
      <c r="C248" s="105"/>
      <c r="D248" s="106"/>
      <c r="E248" s="107"/>
      <c r="F248" s="105"/>
      <c r="G248" s="108"/>
      <c r="H248" s="108"/>
      <c r="I248" s="108"/>
      <c r="J248" s="108"/>
      <c r="K248" s="108"/>
      <c r="L248" s="108"/>
      <c r="M248" s="108"/>
    </row>
    <row r="249" spans="1:13">
      <c r="A249" s="104"/>
      <c r="B249" s="104"/>
      <c r="C249" s="105"/>
      <c r="D249" s="106"/>
      <c r="E249" s="107"/>
      <c r="F249" s="105"/>
      <c r="G249" s="108"/>
      <c r="H249" s="108"/>
      <c r="I249" s="108"/>
      <c r="J249" s="108"/>
      <c r="K249" s="108"/>
      <c r="L249" s="108"/>
      <c r="M249" s="108"/>
    </row>
    <row r="250" spans="1:13" ht="12.75">
      <c r="A250" s="104"/>
      <c r="B250" s="104"/>
      <c r="C250" s="105"/>
      <c r="D250" s="106"/>
      <c r="E250" s="107"/>
      <c r="F250" s="105"/>
      <c r="G250" s="112">
        <v>77.86</v>
      </c>
      <c r="H250" s="113">
        <v>80.400000000000006</v>
      </c>
      <c r="I250" s="114"/>
      <c r="J250" s="114">
        <f>80.4+1.35</f>
        <v>81.75</v>
      </c>
      <c r="K250" s="114"/>
      <c r="L250" s="115">
        <f>J250+1.45</f>
        <v>83.2</v>
      </c>
      <c r="M250" s="115"/>
    </row>
    <row r="251" spans="1:13">
      <c r="A251" s="104"/>
      <c r="B251" s="104"/>
      <c r="C251" s="105"/>
      <c r="D251" s="106"/>
      <c r="E251" s="107"/>
      <c r="F251" s="105"/>
      <c r="G251" s="108"/>
      <c r="H251" s="108"/>
      <c r="I251" s="108"/>
      <c r="J251" s="108"/>
      <c r="K251" s="108"/>
      <c r="L251" s="108"/>
      <c r="M251" s="108"/>
    </row>
    <row r="252" spans="1:13">
      <c r="A252" s="104"/>
      <c r="B252" s="104"/>
      <c r="C252" s="105"/>
      <c r="D252" s="106"/>
      <c r="E252" s="107"/>
      <c r="F252" s="105"/>
      <c r="G252" s="108"/>
      <c r="H252" s="108"/>
      <c r="I252" s="108"/>
      <c r="J252" s="108"/>
      <c r="K252" s="108"/>
      <c r="L252" s="108"/>
      <c r="M252" s="108"/>
    </row>
    <row r="253" spans="1:13">
      <c r="A253" s="104"/>
      <c r="B253" s="104"/>
      <c r="C253" s="105"/>
      <c r="D253" s="106"/>
      <c r="E253" s="107"/>
      <c r="F253" s="105"/>
      <c r="G253" s="108"/>
      <c r="H253" s="108"/>
      <c r="I253" s="108"/>
      <c r="J253" s="108"/>
      <c r="K253" s="108"/>
      <c r="L253" s="108"/>
      <c r="M253" s="108"/>
    </row>
    <row r="254" spans="1:13">
      <c r="A254" s="104"/>
      <c r="B254" s="104"/>
      <c r="C254" s="105"/>
      <c r="D254" s="106"/>
      <c r="E254" s="107"/>
      <c r="F254" s="105"/>
      <c r="G254" s="108"/>
      <c r="H254" s="108"/>
      <c r="I254" s="108"/>
      <c r="J254" s="108"/>
      <c r="K254" s="108"/>
      <c r="L254" s="108"/>
      <c r="M254" s="108"/>
    </row>
    <row r="255" spans="1:13">
      <c r="A255" s="104"/>
      <c r="B255" s="104"/>
      <c r="C255" s="105"/>
      <c r="D255" s="106"/>
      <c r="E255" s="107"/>
      <c r="F255" s="105"/>
      <c r="G255" s="108"/>
      <c r="H255" s="108"/>
      <c r="I255" s="108"/>
      <c r="J255" s="108"/>
      <c r="K255" s="108"/>
      <c r="L255" s="108"/>
      <c r="M255" s="108"/>
    </row>
    <row r="256" spans="1:13">
      <c r="A256" s="104"/>
      <c r="B256" s="104"/>
      <c r="C256" s="105"/>
      <c r="D256" s="106"/>
      <c r="E256" s="107"/>
      <c r="F256" s="105"/>
      <c r="G256" s="108"/>
      <c r="H256" s="108"/>
      <c r="I256" s="108"/>
      <c r="J256" s="108"/>
      <c r="K256" s="108"/>
      <c r="L256" s="108"/>
      <c r="M256" s="108"/>
    </row>
    <row r="257" spans="1:13">
      <c r="A257" s="104"/>
      <c r="B257" s="104"/>
      <c r="C257" s="105"/>
      <c r="D257" s="106"/>
      <c r="E257" s="107"/>
      <c r="F257" s="105"/>
      <c r="G257" s="108"/>
      <c r="H257" s="108"/>
      <c r="I257" s="108"/>
      <c r="J257" s="108"/>
      <c r="K257" s="108"/>
      <c r="L257" s="108"/>
      <c r="M257" s="108"/>
    </row>
    <row r="258" spans="1:13">
      <c r="A258" s="104"/>
      <c r="B258" s="104"/>
      <c r="C258" s="105"/>
      <c r="D258" s="106"/>
      <c r="E258" s="107"/>
      <c r="F258" s="105"/>
      <c r="G258" s="108"/>
      <c r="H258" s="108"/>
      <c r="I258" s="108"/>
      <c r="J258" s="108"/>
      <c r="K258" s="108"/>
      <c r="L258" s="108"/>
      <c r="M258" s="108"/>
    </row>
    <row r="259" spans="1:13">
      <c r="A259" s="104"/>
      <c r="B259" s="104"/>
      <c r="C259" s="105"/>
      <c r="D259" s="106"/>
      <c r="E259" s="107"/>
      <c r="F259" s="105"/>
      <c r="G259" s="108"/>
      <c r="H259" s="108"/>
      <c r="I259" s="108"/>
      <c r="J259" s="108"/>
      <c r="K259" s="108"/>
      <c r="L259" s="108"/>
      <c r="M259" s="108"/>
    </row>
    <row r="260" spans="1:13">
      <c r="A260" s="104"/>
      <c r="B260" s="104"/>
      <c r="C260" s="105"/>
      <c r="D260" s="106"/>
      <c r="E260" s="107"/>
      <c r="F260" s="105"/>
      <c r="G260" s="108"/>
      <c r="H260" s="108"/>
      <c r="I260" s="108"/>
      <c r="J260" s="108"/>
      <c r="K260" s="108"/>
      <c r="L260" s="108"/>
      <c r="M260" s="108"/>
    </row>
    <row r="261" spans="1:13">
      <c r="A261" s="104"/>
      <c r="B261" s="104"/>
      <c r="C261" s="105"/>
      <c r="D261" s="106"/>
      <c r="E261" s="107"/>
      <c r="F261" s="105"/>
      <c r="G261" s="108"/>
      <c r="H261" s="108"/>
      <c r="I261" s="108"/>
      <c r="J261" s="108"/>
      <c r="K261" s="108"/>
      <c r="L261" s="108"/>
      <c r="M261" s="108"/>
    </row>
    <row r="262" spans="1:13">
      <c r="A262" s="104"/>
      <c r="B262" s="104"/>
      <c r="C262" s="105"/>
      <c r="D262" s="106"/>
      <c r="E262" s="107"/>
      <c r="F262" s="105"/>
      <c r="G262" s="108"/>
      <c r="H262" s="108"/>
      <c r="I262" s="108"/>
      <c r="J262" s="108"/>
      <c r="K262" s="108"/>
      <c r="L262" s="108"/>
      <c r="M262" s="108"/>
    </row>
    <row r="263" spans="1:13">
      <c r="A263" s="104"/>
      <c r="B263" s="104"/>
      <c r="C263" s="105"/>
      <c r="D263" s="106"/>
      <c r="E263" s="107"/>
      <c r="F263" s="105"/>
      <c r="G263" s="108"/>
      <c r="H263" s="108"/>
      <c r="I263" s="108"/>
      <c r="J263" s="108"/>
      <c r="K263" s="108"/>
      <c r="L263" s="108"/>
      <c r="M263" s="108"/>
    </row>
    <row r="264" spans="1:13">
      <c r="A264" s="104"/>
      <c r="B264" s="104"/>
      <c r="C264" s="105"/>
      <c r="D264" s="106"/>
      <c r="E264" s="107"/>
      <c r="F264" s="105"/>
      <c r="G264" s="108"/>
      <c r="H264" s="108"/>
      <c r="I264" s="108"/>
      <c r="J264" s="108"/>
      <c r="K264" s="108"/>
      <c r="L264" s="108"/>
      <c r="M264" s="108"/>
    </row>
    <row r="265" spans="1:13">
      <c r="A265" s="104"/>
      <c r="B265" s="104"/>
      <c r="C265" s="105"/>
      <c r="D265" s="106"/>
      <c r="E265" s="107"/>
      <c r="F265" s="105"/>
      <c r="G265" s="108"/>
      <c r="H265" s="108"/>
      <c r="I265" s="108"/>
      <c r="J265" s="108"/>
      <c r="K265" s="108"/>
      <c r="L265" s="108"/>
      <c r="M265" s="108"/>
    </row>
    <row r="266" spans="1:13">
      <c r="A266" s="104"/>
      <c r="B266" s="104"/>
      <c r="C266" s="105"/>
      <c r="D266" s="106"/>
      <c r="E266" s="107"/>
      <c r="F266" s="105"/>
      <c r="G266" s="108"/>
      <c r="H266" s="108"/>
      <c r="I266" s="108"/>
      <c r="J266" s="108"/>
      <c r="K266" s="108"/>
      <c r="L266" s="108"/>
      <c r="M266" s="108"/>
    </row>
    <row r="267" spans="1:13">
      <c r="A267" s="104"/>
      <c r="B267" s="104"/>
      <c r="C267" s="105"/>
      <c r="D267" s="106"/>
      <c r="E267" s="107"/>
      <c r="F267" s="105"/>
      <c r="G267" s="108"/>
      <c r="H267" s="108"/>
      <c r="I267" s="108"/>
      <c r="J267" s="108"/>
      <c r="K267" s="108"/>
      <c r="L267" s="108"/>
      <c r="M267" s="108"/>
    </row>
    <row r="268" spans="1:13">
      <c r="A268" s="104"/>
      <c r="B268" s="104"/>
      <c r="C268" s="105"/>
      <c r="D268" s="106"/>
      <c r="E268" s="107"/>
      <c r="F268" s="105"/>
      <c r="G268" s="108"/>
      <c r="H268" s="108"/>
      <c r="I268" s="108"/>
      <c r="J268" s="108"/>
      <c r="K268" s="108"/>
      <c r="L268" s="108"/>
      <c r="M268" s="108"/>
    </row>
    <row r="269" spans="1:13">
      <c r="A269" s="104"/>
      <c r="B269" s="104"/>
      <c r="C269" s="105"/>
      <c r="D269" s="106"/>
      <c r="E269" s="107"/>
      <c r="F269" s="105"/>
      <c r="G269" s="108"/>
      <c r="H269" s="108"/>
      <c r="I269" s="108"/>
      <c r="J269" s="108"/>
      <c r="K269" s="108"/>
      <c r="L269" s="108"/>
      <c r="M269" s="108"/>
    </row>
    <row r="270" spans="1:13">
      <c r="A270" s="104"/>
      <c r="B270" s="104"/>
      <c r="C270" s="105"/>
      <c r="D270" s="106"/>
      <c r="E270" s="107"/>
      <c r="F270" s="105"/>
      <c r="G270" s="108"/>
      <c r="H270" s="108"/>
      <c r="I270" s="108"/>
      <c r="J270" s="108"/>
      <c r="K270" s="108"/>
      <c r="L270" s="108"/>
      <c r="M270" s="108"/>
    </row>
    <row r="271" spans="1:13">
      <c r="A271" s="104"/>
      <c r="B271" s="104"/>
      <c r="C271" s="105"/>
      <c r="D271" s="106"/>
      <c r="E271" s="107"/>
      <c r="F271" s="105"/>
      <c r="G271" s="108"/>
      <c r="H271" s="108"/>
      <c r="I271" s="108"/>
      <c r="J271" s="108"/>
      <c r="K271" s="108"/>
      <c r="L271" s="108"/>
      <c r="M271" s="108"/>
    </row>
    <row r="272" spans="1:13">
      <c r="A272" s="104"/>
      <c r="B272" s="104"/>
      <c r="C272" s="105"/>
      <c r="D272" s="106"/>
      <c r="E272" s="107"/>
      <c r="F272" s="105"/>
      <c r="G272" s="108"/>
      <c r="H272" s="108"/>
      <c r="I272" s="108"/>
      <c r="J272" s="108"/>
      <c r="K272" s="108"/>
      <c r="L272" s="108"/>
      <c r="M272" s="108"/>
    </row>
    <row r="273" spans="1:13">
      <c r="A273" s="104"/>
      <c r="B273" s="104"/>
      <c r="C273" s="105"/>
      <c r="D273" s="106"/>
      <c r="E273" s="107"/>
      <c r="F273" s="105"/>
      <c r="G273" s="108"/>
      <c r="H273" s="108"/>
      <c r="I273" s="108"/>
      <c r="J273" s="108"/>
      <c r="K273" s="108"/>
      <c r="L273" s="108"/>
      <c r="M273" s="108"/>
    </row>
    <row r="274" spans="1:13">
      <c r="A274" s="104"/>
      <c r="B274" s="104"/>
      <c r="C274" s="105"/>
      <c r="D274" s="106"/>
      <c r="E274" s="107"/>
      <c r="F274" s="105"/>
      <c r="G274" s="108"/>
      <c r="H274" s="108"/>
      <c r="I274" s="108"/>
      <c r="J274" s="108"/>
      <c r="K274" s="108"/>
      <c r="L274" s="108"/>
      <c r="M274" s="108"/>
    </row>
    <row r="275" spans="1:13">
      <c r="A275" s="104"/>
      <c r="B275" s="104"/>
      <c r="C275" s="105"/>
      <c r="D275" s="106"/>
      <c r="E275" s="107"/>
      <c r="F275" s="105"/>
      <c r="G275" s="108"/>
      <c r="H275" s="108"/>
      <c r="I275" s="108"/>
      <c r="J275" s="108"/>
      <c r="K275" s="108"/>
      <c r="L275" s="108"/>
      <c r="M275" s="108"/>
    </row>
    <row r="276" spans="1:13">
      <c r="A276" s="104"/>
      <c r="B276" s="104"/>
      <c r="C276" s="105"/>
      <c r="D276" s="106"/>
      <c r="E276" s="107"/>
      <c r="F276" s="105"/>
      <c r="G276" s="108"/>
      <c r="H276" s="108"/>
      <c r="I276" s="108"/>
      <c r="J276" s="108"/>
      <c r="K276" s="108"/>
      <c r="L276" s="108"/>
      <c r="M276" s="108"/>
    </row>
    <row r="277" spans="1:13">
      <c r="A277" s="104"/>
      <c r="B277" s="104"/>
      <c r="C277" s="105"/>
      <c r="D277" s="106"/>
      <c r="E277" s="107"/>
      <c r="F277" s="105"/>
      <c r="G277" s="108"/>
      <c r="H277" s="108"/>
      <c r="I277" s="108"/>
      <c r="J277" s="108"/>
      <c r="K277" s="108"/>
      <c r="L277" s="108"/>
      <c r="M277" s="108"/>
    </row>
    <row r="278" spans="1:13">
      <c r="A278" s="104"/>
      <c r="B278" s="104"/>
      <c r="C278" s="105"/>
      <c r="D278" s="106"/>
      <c r="E278" s="107"/>
      <c r="F278" s="105"/>
      <c r="G278" s="108"/>
      <c r="H278" s="108"/>
      <c r="I278" s="108"/>
      <c r="J278" s="108"/>
      <c r="K278" s="108"/>
      <c r="L278" s="108"/>
      <c r="M278" s="108"/>
    </row>
    <row r="279" spans="1:13">
      <c r="A279" s="104"/>
      <c r="B279" s="104"/>
      <c r="C279" s="105"/>
      <c r="D279" s="106"/>
      <c r="E279" s="107"/>
      <c r="F279" s="105"/>
      <c r="G279" s="108"/>
      <c r="H279" s="108"/>
      <c r="I279" s="108"/>
      <c r="J279" s="108"/>
      <c r="K279" s="108"/>
      <c r="L279" s="108"/>
      <c r="M279" s="108"/>
    </row>
    <row r="280" spans="1:13">
      <c r="A280" s="104"/>
      <c r="B280" s="104"/>
      <c r="C280" s="105"/>
      <c r="D280" s="106"/>
      <c r="E280" s="107"/>
      <c r="F280" s="105"/>
      <c r="G280" s="108"/>
      <c r="H280" s="108"/>
      <c r="I280" s="108"/>
      <c r="J280" s="108"/>
      <c r="K280" s="108"/>
      <c r="L280" s="108"/>
      <c r="M280" s="108"/>
    </row>
    <row r="281" spans="1:13">
      <c r="A281" s="104"/>
      <c r="B281" s="104"/>
      <c r="C281" s="105"/>
      <c r="D281" s="106"/>
      <c r="E281" s="107"/>
      <c r="F281" s="105"/>
      <c r="G281" s="108"/>
      <c r="H281" s="108"/>
      <c r="I281" s="108"/>
      <c r="J281" s="108"/>
      <c r="K281" s="108"/>
      <c r="L281" s="108"/>
      <c r="M281" s="108"/>
    </row>
    <row r="282" spans="1:13">
      <c r="A282" s="104"/>
      <c r="B282" s="104"/>
      <c r="C282" s="105"/>
      <c r="D282" s="106"/>
      <c r="E282" s="107"/>
      <c r="F282" s="105"/>
      <c r="G282" s="108"/>
      <c r="H282" s="108"/>
      <c r="I282" s="108"/>
      <c r="J282" s="108"/>
      <c r="K282" s="108"/>
      <c r="L282" s="108"/>
      <c r="M282" s="108"/>
    </row>
    <row r="283" spans="1:13">
      <c r="A283" s="104"/>
      <c r="B283" s="104"/>
      <c r="C283" s="105"/>
      <c r="D283" s="106"/>
      <c r="E283" s="107"/>
      <c r="F283" s="105"/>
      <c r="G283" s="108"/>
      <c r="H283" s="108"/>
      <c r="I283" s="108"/>
      <c r="J283" s="108"/>
      <c r="K283" s="108"/>
      <c r="L283" s="108"/>
      <c r="M283" s="108"/>
    </row>
    <row r="284" spans="1:13">
      <c r="A284" s="104"/>
      <c r="B284" s="104"/>
      <c r="C284" s="105"/>
      <c r="D284" s="106"/>
      <c r="E284" s="107"/>
      <c r="F284" s="105"/>
      <c r="G284" s="108"/>
      <c r="H284" s="108"/>
      <c r="I284" s="108"/>
      <c r="J284" s="108"/>
      <c r="K284" s="108"/>
      <c r="L284" s="108"/>
      <c r="M284" s="108"/>
    </row>
    <row r="285" spans="1:13">
      <c r="A285" s="104"/>
      <c r="B285" s="104"/>
      <c r="C285" s="105"/>
      <c r="D285" s="106"/>
      <c r="E285" s="107"/>
      <c r="F285" s="105"/>
      <c r="G285" s="108"/>
      <c r="H285" s="108"/>
      <c r="I285" s="108"/>
      <c r="J285" s="108"/>
      <c r="K285" s="108"/>
      <c r="L285" s="108"/>
      <c r="M285" s="108"/>
    </row>
    <row r="286" spans="1:13">
      <c r="A286" s="104"/>
      <c r="B286" s="104"/>
      <c r="C286" s="105"/>
      <c r="D286" s="106"/>
      <c r="E286" s="107"/>
      <c r="F286" s="105"/>
      <c r="G286" s="108"/>
      <c r="H286" s="108"/>
      <c r="I286" s="108"/>
      <c r="J286" s="108"/>
      <c r="K286" s="108"/>
      <c r="L286" s="108"/>
      <c r="M286" s="108"/>
    </row>
  </sheetData>
  <mergeCells count="12">
    <mergeCell ref="M3:M4"/>
    <mergeCell ref="A233:O233"/>
    <mergeCell ref="A1:M1"/>
    <mergeCell ref="A2:A4"/>
    <mergeCell ref="B2:B4"/>
    <mergeCell ref="K2:M2"/>
    <mergeCell ref="G3:G4"/>
    <mergeCell ref="H3:H4"/>
    <mergeCell ref="I3:I4"/>
    <mergeCell ref="J3:J4"/>
    <mergeCell ref="K3:K4"/>
    <mergeCell ref="L3:L4"/>
  </mergeCells>
  <conditionalFormatting sqref="G125:G126 A125:A126">
    <cfRule type="expression" dxfId="5" priority="6">
      <formula>#REF!&lt;#REF!</formula>
    </cfRule>
  </conditionalFormatting>
  <conditionalFormatting sqref="G145:G166">
    <cfRule type="expression" dxfId="4" priority="5">
      <formula>H$250&lt;&gt;SUM(H$251,H$255,H$260:H$265,H$270)</formula>
    </cfRule>
  </conditionalFormatting>
  <conditionalFormatting sqref="G150:G154">
    <cfRule type="expression" dxfId="3" priority="4">
      <formula>H$255&lt;&gt;SUM(H$256:H$259)</formula>
    </cfRule>
  </conditionalFormatting>
  <conditionalFormatting sqref="G160:G165">
    <cfRule type="expression" dxfId="2" priority="3">
      <formula>H$265&lt;&gt;SUM(H$266:H$269)</formula>
    </cfRule>
  </conditionalFormatting>
  <conditionalFormatting sqref="G121:G124">
    <cfRule type="expression" dxfId="1" priority="2">
      <formula>#REF!&lt;&gt;SUM(H$227:H$229)</formula>
    </cfRule>
  </conditionalFormatting>
  <conditionalFormatting sqref="G119:G120">
    <cfRule type="expression" dxfId="0" priority="1">
      <formula>G$224&lt;&gt;SUM(G$225:G$226)</formula>
    </cfRule>
  </conditionalFormatting>
  <pageMargins left="0.31496062992125984" right="0.27559055118110237" top="0.98425196850393704" bottom="0.98425196850393704" header="0.51181102362204722" footer="0.51181102362204722"/>
  <pageSetup paperSize="9" scale="75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5" sqref="F5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 Прогноз 2015-2017</vt:lpstr>
      <vt:lpstr>Лист1</vt:lpstr>
      <vt:lpstr>Лист2</vt:lpstr>
      <vt:lpstr>Лист3</vt:lpstr>
      <vt:lpstr>' Прогноз 2015-2017'!Область_печати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2016-05-14T14:36:01Z</dcterms:modified>
</cp:coreProperties>
</file>