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585" yWindow="-150" windowWidth="14250" windowHeight="11670" tabRatio="844" firstSheet="3" activeTab="6"/>
  </bookViews>
  <sheets>
    <sheet name=" Прогноз 2016-2019" sheetId="5" r:id="rId1"/>
    <sheet name=" Прогноз абакар" sheetId="6" r:id="rId2"/>
    <sheet name="ФУ прогноз" sheetId="10" r:id="rId3"/>
    <sheet name=" УСХ )" sheetId="11" r:id="rId4"/>
    <sheet name=" Прогноз 2016-2019 (3)" sheetId="15" r:id="rId5"/>
    <sheet name="Анализ 9 мес 2016-2017" sheetId="17" r:id="rId6"/>
    <sheet name=" Прогноз 2020" sheetId="14" r:id="rId7"/>
    <sheet name="2017 9 мес" sheetId="13" r:id="rId8"/>
    <sheet name=" Прогноз 2018-2020 (2)" sheetId="9" r:id="rId9"/>
  </sheets>
  <externalReferences>
    <externalReference r:id="rId10"/>
  </externalReferences>
  <definedNames>
    <definedName name="го_чс" localSheetId="4">#REF!</definedName>
    <definedName name="го_чс" localSheetId="7">#REF!</definedName>
    <definedName name="го_чс" localSheetId="5">#REF!</definedName>
    <definedName name="го_чс">#REF!</definedName>
    <definedName name="епок" localSheetId="4">#REF!</definedName>
    <definedName name="епок" localSheetId="7">#REF!</definedName>
    <definedName name="епок" localSheetId="5">#REF!</definedName>
    <definedName name="епок">#REF!</definedName>
    <definedName name="_xlnm.Print_Titles" localSheetId="7">'2017 9 мес'!$2:$2</definedName>
    <definedName name="_xlnm.Print_Titles" localSheetId="5">'Анализ 9 мес 2016-2017'!$2:$2</definedName>
    <definedName name="_xlnm.Print_Area" localSheetId="0">' Прогноз 2016-2019'!$A$1:$N$238</definedName>
    <definedName name="_xlnm.Print_Area" localSheetId="4">' Прогноз 2016-2019 (3)'!$A$1:$N$221</definedName>
    <definedName name="_xlnm.Print_Area" localSheetId="8">' Прогноз 2018-2020 (2)'!$A$1:$O$238</definedName>
    <definedName name="_xlnm.Print_Area" localSheetId="6">' Прогноз 2020'!$A$1:$N$221</definedName>
    <definedName name="_xlnm.Print_Area" localSheetId="1">' Прогноз абакар'!$A$1:$M$238</definedName>
    <definedName name="_xlnm.Print_Area" localSheetId="3">' УСХ )'!$A$1:$O$38</definedName>
    <definedName name="_xlnm.Print_Area" localSheetId="2">'ФУ прогноз'!$A$1:$O$63</definedName>
    <definedName name="Отдел_капитального_строительства" localSheetId="4">#REF!</definedName>
    <definedName name="Отдел_капитального_строительства" localSheetId="7">#REF!</definedName>
    <definedName name="Отдел_капитального_строительства" localSheetId="5">#REF!</definedName>
    <definedName name="Отдел_капитального_строительства">#REF!</definedName>
    <definedName name="уров.соб.01.10.2016" localSheetId="4">#REF!</definedName>
    <definedName name="уров.соб.01.10.2016" localSheetId="7">#REF!</definedName>
    <definedName name="уров.соб.01.10.2016" localSheetId="5">#REF!</definedName>
    <definedName name="уров.соб.01.10.2016">#REF!</definedName>
  </definedNames>
  <calcPr calcId="125725"/>
</workbook>
</file>

<file path=xl/calcChain.xml><?xml version="1.0" encoding="utf-8"?>
<calcChain xmlns="http://schemas.openxmlformats.org/spreadsheetml/2006/main">
  <c r="O93" i="14"/>
  <c r="K111" l="1"/>
  <c r="J111"/>
  <c r="K123"/>
  <c r="K118"/>
  <c r="K105"/>
  <c r="K102" s="1"/>
  <c r="K101" l="1"/>
  <c r="I3" i="13"/>
  <c r="J22" i="14"/>
  <c r="K20" i="1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H3"/>
  <c r="I3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4"/>
  <c r="H5"/>
  <c r="H6"/>
  <c r="H7"/>
  <c r="H8"/>
  <c r="H9"/>
  <c r="H10"/>
  <c r="H11"/>
  <c r="H12"/>
  <c r="H1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"/>
  <c r="G4"/>
  <c r="G5"/>
  <c r="G6"/>
  <c r="G7"/>
  <c r="G8"/>
  <c r="G9"/>
  <c r="G10"/>
  <c r="G11"/>
  <c r="G12"/>
  <c r="G13"/>
  <c r="H14"/>
  <c r="G14"/>
  <c r="G48" i="17"/>
  <c r="F48"/>
  <c r="G45"/>
  <c r="F45"/>
  <c r="G41"/>
  <c r="F41"/>
  <c r="G40"/>
  <c r="F40"/>
  <c r="F36"/>
  <c r="F35"/>
  <c r="G34"/>
  <c r="F34"/>
  <c r="G33"/>
  <c r="F33"/>
  <c r="G32"/>
  <c r="F32"/>
  <c r="G31"/>
  <c r="F31"/>
  <c r="G30"/>
  <c r="F30"/>
  <c r="G29"/>
  <c r="F29"/>
  <c r="G27"/>
  <c r="F27"/>
  <c r="G26"/>
  <c r="F26"/>
  <c r="F25"/>
  <c r="G24"/>
  <c r="F24"/>
  <c r="G23"/>
  <c r="F23"/>
  <c r="D22"/>
  <c r="G22"/>
  <c r="F22"/>
  <c r="G21"/>
  <c r="F21"/>
  <c r="G20"/>
  <c r="F20"/>
  <c r="G19"/>
  <c r="F19"/>
  <c r="G17"/>
  <c r="F17"/>
  <c r="G16"/>
  <c r="F16"/>
  <c r="G15"/>
  <c r="F15"/>
  <c r="G14"/>
  <c r="F14"/>
  <c r="G13"/>
  <c r="F13"/>
  <c r="G6"/>
  <c r="F6"/>
  <c r="G5"/>
  <c r="F5"/>
  <c r="E4"/>
  <c r="D4"/>
  <c r="G4"/>
  <c r="F4"/>
  <c r="G3"/>
  <c r="F3"/>
  <c r="N98" i="14"/>
  <c r="N97"/>
  <c r="K99"/>
  <c r="L99"/>
  <c r="M99"/>
  <c r="N99"/>
  <c r="J99"/>
  <c r="K201"/>
  <c r="K206"/>
  <c r="L206"/>
  <c r="M206"/>
  <c r="N206"/>
  <c r="J206"/>
  <c r="N212"/>
  <c r="M212"/>
  <c r="N209"/>
  <c r="F22" i="13"/>
  <c r="N58" i="14"/>
  <c r="M196"/>
  <c r="N196"/>
  <c r="N197"/>
  <c r="N201"/>
  <c r="N177"/>
  <c r="N179"/>
  <c r="N187"/>
  <c r="N191"/>
  <c r="N193"/>
  <c r="N194"/>
  <c r="N94"/>
  <c r="M151"/>
  <c r="N105"/>
  <c r="N111"/>
  <c r="N118"/>
  <c r="N123"/>
  <c r="N101"/>
  <c r="N129"/>
  <c r="N138"/>
  <c r="N151"/>
  <c r="N171"/>
  <c r="M165"/>
  <c r="N167"/>
  <c r="N168"/>
  <c r="N169"/>
  <c r="N170"/>
  <c r="N165"/>
  <c r="N172"/>
  <c r="N154"/>
  <c r="N156"/>
  <c r="N157"/>
  <c r="N158"/>
  <c r="N159"/>
  <c r="N160"/>
  <c r="N161"/>
  <c r="N162"/>
  <c r="N163"/>
  <c r="N164"/>
  <c r="K154"/>
  <c r="N213"/>
  <c r="N214"/>
  <c r="L214"/>
  <c r="N82"/>
  <c r="M91"/>
  <c r="N91"/>
  <c r="L91"/>
  <c r="N86"/>
  <c r="N87"/>
  <c r="N88"/>
  <c r="N89"/>
  <c r="N85"/>
  <c r="K85"/>
  <c r="L85"/>
  <c r="M85"/>
  <c r="K86"/>
  <c r="L86"/>
  <c r="M86"/>
  <c r="K87"/>
  <c r="L87"/>
  <c r="M87"/>
  <c r="K88"/>
  <c r="L88"/>
  <c r="M88"/>
  <c r="K89"/>
  <c r="L89"/>
  <c r="M89"/>
  <c r="L84"/>
  <c r="M84"/>
  <c r="N84"/>
  <c r="M37"/>
  <c r="N37"/>
  <c r="L37"/>
  <c r="N42"/>
  <c r="N38"/>
  <c r="J35"/>
  <c r="L35"/>
  <c r="M35"/>
  <c r="N35"/>
  <c r="K35"/>
  <c r="L27"/>
  <c r="M27" s="1"/>
  <c r="L26"/>
  <c r="M26" s="1"/>
  <c r="N26" s="1"/>
  <c r="K22"/>
  <c r="K23" s="1"/>
  <c r="I22"/>
  <c r="N19"/>
  <c r="M19"/>
  <c r="J19"/>
  <c r="M6"/>
  <c r="N6"/>
  <c r="N7"/>
  <c r="J234" i="15"/>
  <c r="M234"/>
  <c r="N214"/>
  <c r="M214"/>
  <c r="L214"/>
  <c r="K214"/>
  <c r="J214"/>
  <c r="K6"/>
  <c r="L6"/>
  <c r="M6"/>
  <c r="N6"/>
  <c r="N212"/>
  <c r="M212"/>
  <c r="K211"/>
  <c r="L211"/>
  <c r="L212"/>
  <c r="K212"/>
  <c r="J212"/>
  <c r="G212"/>
  <c r="L209"/>
  <c r="M209"/>
  <c r="N209"/>
  <c r="K209"/>
  <c r="G208"/>
  <c r="J204"/>
  <c r="I204"/>
  <c r="N201"/>
  <c r="M201"/>
  <c r="L201"/>
  <c r="K201"/>
  <c r="J201"/>
  <c r="I198"/>
  <c r="I201"/>
  <c r="H198"/>
  <c r="H201"/>
  <c r="G201"/>
  <c r="I199"/>
  <c r="H199"/>
  <c r="G199"/>
  <c r="N197"/>
  <c r="M197"/>
  <c r="L197"/>
  <c r="K197"/>
  <c r="J197"/>
  <c r="I197"/>
  <c r="H197"/>
  <c r="L196"/>
  <c r="M196"/>
  <c r="N196"/>
  <c r="J196"/>
  <c r="J194"/>
  <c r="L194"/>
  <c r="M194"/>
  <c r="N194"/>
  <c r="L193"/>
  <c r="M193"/>
  <c r="N193"/>
  <c r="N191"/>
  <c r="M191"/>
  <c r="L191"/>
  <c r="K191"/>
  <c r="N187"/>
  <c r="M187"/>
  <c r="L187"/>
  <c r="K187"/>
  <c r="J187"/>
  <c r="I187"/>
  <c r="H187"/>
  <c r="G185"/>
  <c r="I184"/>
  <c r="N179"/>
  <c r="M179"/>
  <c r="L179"/>
  <c r="K179"/>
  <c r="J179"/>
  <c r="I179"/>
  <c r="H179"/>
  <c r="G179"/>
  <c r="N177"/>
  <c r="M177"/>
  <c r="L177"/>
  <c r="K177"/>
  <c r="J177"/>
  <c r="H177"/>
  <c r="K172"/>
  <c r="L172"/>
  <c r="M172"/>
  <c r="N172"/>
  <c r="K156"/>
  <c r="L156"/>
  <c r="M156"/>
  <c r="N156"/>
  <c r="L157"/>
  <c r="M157"/>
  <c r="N157"/>
  <c r="K158"/>
  <c r="L158"/>
  <c r="M158"/>
  <c r="N158"/>
  <c r="K162"/>
  <c r="L162"/>
  <c r="M162"/>
  <c r="N162"/>
  <c r="K163"/>
  <c r="L163"/>
  <c r="M163"/>
  <c r="N163"/>
  <c r="N154"/>
  <c r="K167"/>
  <c r="L167"/>
  <c r="M167"/>
  <c r="N167"/>
  <c r="K169"/>
  <c r="L169"/>
  <c r="M169"/>
  <c r="N169"/>
  <c r="J170"/>
  <c r="K170"/>
  <c r="L170"/>
  <c r="M170"/>
  <c r="N170"/>
  <c r="N165"/>
  <c r="N171"/>
  <c r="M154"/>
  <c r="M165"/>
  <c r="M171"/>
  <c r="L154"/>
  <c r="L165"/>
  <c r="L171"/>
  <c r="K154"/>
  <c r="K165"/>
  <c r="K171"/>
  <c r="J154"/>
  <c r="J165"/>
  <c r="J171"/>
  <c r="I163"/>
  <c r="I154"/>
  <c r="I165"/>
  <c r="I171"/>
  <c r="H158"/>
  <c r="H163"/>
  <c r="H154"/>
  <c r="H170"/>
  <c r="H165"/>
  <c r="H171"/>
  <c r="G163"/>
  <c r="G154"/>
  <c r="G167"/>
  <c r="G170"/>
  <c r="G165"/>
  <c r="G171"/>
  <c r="K168"/>
  <c r="L168"/>
  <c r="M168"/>
  <c r="N168"/>
  <c r="K166"/>
  <c r="L166"/>
  <c r="M166"/>
  <c r="N166"/>
  <c r="L164"/>
  <c r="M164"/>
  <c r="N164"/>
  <c r="G164"/>
  <c r="K161"/>
  <c r="L161"/>
  <c r="M161"/>
  <c r="N161"/>
  <c r="K160"/>
  <c r="L160"/>
  <c r="M160"/>
  <c r="N160"/>
  <c r="K159"/>
  <c r="L159"/>
  <c r="M159"/>
  <c r="N159"/>
  <c r="I152"/>
  <c r="H152"/>
  <c r="N105"/>
  <c r="N111"/>
  <c r="N102"/>
  <c r="N118"/>
  <c r="N123"/>
  <c r="N101"/>
  <c r="N129"/>
  <c r="N151"/>
  <c r="M105"/>
  <c r="M111"/>
  <c r="M102"/>
  <c r="M118"/>
  <c r="M123"/>
  <c r="M101"/>
  <c r="M129"/>
  <c r="M151"/>
  <c r="L111"/>
  <c r="L102"/>
  <c r="L118"/>
  <c r="L123"/>
  <c r="L101"/>
  <c r="L129"/>
  <c r="L151"/>
  <c r="K105"/>
  <c r="K111"/>
  <c r="K102"/>
  <c r="K118"/>
  <c r="K123"/>
  <c r="K101"/>
  <c r="K129"/>
  <c r="K151"/>
  <c r="J111"/>
  <c r="J117"/>
  <c r="J102"/>
  <c r="J118"/>
  <c r="J123"/>
  <c r="J101"/>
  <c r="J129"/>
  <c r="J151"/>
  <c r="H105"/>
  <c r="H111"/>
  <c r="H102"/>
  <c r="H121"/>
  <c r="H118"/>
  <c r="H128"/>
  <c r="H123"/>
  <c r="H101"/>
  <c r="H134"/>
  <c r="H129"/>
  <c r="H151"/>
  <c r="N138"/>
  <c r="M138"/>
  <c r="I129"/>
  <c r="I123"/>
  <c r="I118"/>
  <c r="I111"/>
  <c r="I102"/>
  <c r="I101"/>
  <c r="L98"/>
  <c r="M98"/>
  <c r="N98"/>
  <c r="L97"/>
  <c r="M97"/>
  <c r="N97"/>
  <c r="N94"/>
  <c r="M94"/>
  <c r="L94"/>
  <c r="K94"/>
  <c r="J94"/>
  <c r="I94"/>
  <c r="H94"/>
  <c r="K90"/>
  <c r="L90"/>
  <c r="M90"/>
  <c r="N90"/>
  <c r="G90"/>
  <c r="K89"/>
  <c r="L89"/>
  <c r="M89"/>
  <c r="N89"/>
  <c r="K88"/>
  <c r="L88"/>
  <c r="M88"/>
  <c r="N88"/>
  <c r="H88"/>
  <c r="K87"/>
  <c r="L87"/>
  <c r="M87"/>
  <c r="N87"/>
  <c r="K86"/>
  <c r="L86"/>
  <c r="M86"/>
  <c r="N86"/>
  <c r="K85"/>
  <c r="L85"/>
  <c r="M85"/>
  <c r="N85"/>
  <c r="K84"/>
  <c r="L84"/>
  <c r="M84"/>
  <c r="N84"/>
  <c r="L82"/>
  <c r="M82"/>
  <c r="N82"/>
  <c r="G82"/>
  <c r="L71"/>
  <c r="M71"/>
  <c r="N71"/>
  <c r="I70"/>
  <c r="H70"/>
  <c r="G69"/>
  <c r="N58"/>
  <c r="M58"/>
  <c r="L58"/>
  <c r="K58"/>
  <c r="J58"/>
  <c r="I58"/>
  <c r="H58"/>
  <c r="L44"/>
  <c r="K44"/>
  <c r="N42"/>
  <c r="M42"/>
  <c r="L42"/>
  <c r="K42"/>
  <c r="J42"/>
  <c r="I42"/>
  <c r="M37"/>
  <c r="N37"/>
  <c r="N38"/>
  <c r="M38"/>
  <c r="L38"/>
  <c r="J37"/>
  <c r="K38"/>
  <c r="J38"/>
  <c r="H37"/>
  <c r="I38"/>
  <c r="H38"/>
  <c r="N35"/>
  <c r="M35"/>
  <c r="L35"/>
  <c r="K35"/>
  <c r="J35"/>
  <c r="I35"/>
  <c r="H35"/>
  <c r="G35"/>
  <c r="N22"/>
  <c r="M22"/>
  <c r="N23"/>
  <c r="M23"/>
  <c r="L23"/>
  <c r="J22"/>
  <c r="K23"/>
  <c r="I22"/>
  <c r="J23"/>
  <c r="H22"/>
  <c r="I23"/>
  <c r="G23"/>
  <c r="E22"/>
  <c r="F23"/>
  <c r="D22"/>
  <c r="E23"/>
  <c r="C22"/>
  <c r="D23"/>
  <c r="N19"/>
  <c r="M19"/>
  <c r="L19"/>
  <c r="K19"/>
  <c r="J19"/>
  <c r="I19"/>
  <c r="H19"/>
  <c r="N7"/>
  <c r="M7"/>
  <c r="L7"/>
  <c r="K7"/>
  <c r="J7"/>
  <c r="I7"/>
  <c r="H7"/>
  <c r="I234" i="14"/>
  <c r="L234"/>
  <c r="M214"/>
  <c r="K214"/>
  <c r="J214"/>
  <c r="I214"/>
  <c r="J6"/>
  <c r="K6"/>
  <c r="L6"/>
  <c r="L212"/>
  <c r="K212"/>
  <c r="J212"/>
  <c r="I212"/>
  <c r="G212"/>
  <c r="L209"/>
  <c r="M209"/>
  <c r="J209"/>
  <c r="G208"/>
  <c r="I204"/>
  <c r="H204"/>
  <c r="M201"/>
  <c r="L201"/>
  <c r="J201"/>
  <c r="I201"/>
  <c r="H198"/>
  <c r="H201"/>
  <c r="G201"/>
  <c r="H199"/>
  <c r="G199"/>
  <c r="M197"/>
  <c r="L197"/>
  <c r="K197"/>
  <c r="J197"/>
  <c r="I197"/>
  <c r="H197"/>
  <c r="K196"/>
  <c r="L196"/>
  <c r="I196"/>
  <c r="I194"/>
  <c r="K194"/>
  <c r="L194"/>
  <c r="M194"/>
  <c r="K193"/>
  <c r="L193"/>
  <c r="M193"/>
  <c r="M191"/>
  <c r="L191"/>
  <c r="K191"/>
  <c r="J191"/>
  <c r="M187"/>
  <c r="L187"/>
  <c r="K187"/>
  <c r="J187"/>
  <c r="I187"/>
  <c r="H187"/>
  <c r="G185"/>
  <c r="H184"/>
  <c r="M179"/>
  <c r="L179"/>
  <c r="K179"/>
  <c r="J179"/>
  <c r="I179"/>
  <c r="H179"/>
  <c r="G179"/>
  <c r="M177"/>
  <c r="L177"/>
  <c r="K177"/>
  <c r="J177"/>
  <c r="I177"/>
  <c r="J172"/>
  <c r="K172"/>
  <c r="L172"/>
  <c r="M172"/>
  <c r="J156"/>
  <c r="K156"/>
  <c r="L156"/>
  <c r="M156"/>
  <c r="K157"/>
  <c r="L157"/>
  <c r="M157"/>
  <c r="J158"/>
  <c r="K158"/>
  <c r="L158"/>
  <c r="M158"/>
  <c r="J162"/>
  <c r="K162"/>
  <c r="L162"/>
  <c r="M162"/>
  <c r="J163"/>
  <c r="K163"/>
  <c r="L163"/>
  <c r="M163"/>
  <c r="M154"/>
  <c r="J167"/>
  <c r="K167"/>
  <c r="L167"/>
  <c r="M167"/>
  <c r="J169"/>
  <c r="K169"/>
  <c r="L169"/>
  <c r="M169"/>
  <c r="I170"/>
  <c r="J170"/>
  <c r="K170"/>
  <c r="L170"/>
  <c r="M170"/>
  <c r="M171"/>
  <c r="L154"/>
  <c r="L165"/>
  <c r="L171"/>
  <c r="K165"/>
  <c r="K171"/>
  <c r="J154"/>
  <c r="J165"/>
  <c r="J171"/>
  <c r="I154"/>
  <c r="I165"/>
  <c r="I171"/>
  <c r="H163"/>
  <c r="H154"/>
  <c r="H165"/>
  <c r="H171"/>
  <c r="G163"/>
  <c r="G154"/>
  <c r="G167"/>
  <c r="G170"/>
  <c r="G165"/>
  <c r="G171"/>
  <c r="J168"/>
  <c r="K168"/>
  <c r="L168"/>
  <c r="M168"/>
  <c r="J166"/>
  <c r="K166"/>
  <c r="L166"/>
  <c r="M166"/>
  <c r="K164"/>
  <c r="L164"/>
  <c r="M164"/>
  <c r="G164"/>
  <c r="J161"/>
  <c r="K161"/>
  <c r="L161"/>
  <c r="M161"/>
  <c r="J160"/>
  <c r="K160"/>
  <c r="L160"/>
  <c r="M160"/>
  <c r="J159"/>
  <c r="K159"/>
  <c r="L159"/>
  <c r="M159"/>
  <c r="H152"/>
  <c r="M105"/>
  <c r="M111"/>
  <c r="M102"/>
  <c r="M118"/>
  <c r="M123"/>
  <c r="M101"/>
  <c r="M129"/>
  <c r="L105"/>
  <c r="L111"/>
  <c r="L102"/>
  <c r="L118"/>
  <c r="L123"/>
  <c r="L101"/>
  <c r="L129"/>
  <c r="L151"/>
  <c r="K151"/>
  <c r="K129"/>
  <c r="J105"/>
  <c r="J102"/>
  <c r="J118"/>
  <c r="J123"/>
  <c r="J101"/>
  <c r="J129"/>
  <c r="J151"/>
  <c r="I111"/>
  <c r="I117"/>
  <c r="I102"/>
  <c r="I118"/>
  <c r="I123"/>
  <c r="I101"/>
  <c r="I129"/>
  <c r="I151"/>
  <c r="M138"/>
  <c r="L138"/>
  <c r="H129"/>
  <c r="H123"/>
  <c r="H118"/>
  <c r="H111"/>
  <c r="H102"/>
  <c r="H101"/>
  <c r="K98"/>
  <c r="L98"/>
  <c r="M98"/>
  <c r="K97"/>
  <c r="L97"/>
  <c r="M97"/>
  <c r="M94"/>
  <c r="L94"/>
  <c r="K94"/>
  <c r="J94"/>
  <c r="I94"/>
  <c r="J90"/>
  <c r="G90"/>
  <c r="K84"/>
  <c r="L82"/>
  <c r="M82"/>
  <c r="G82"/>
  <c r="H70"/>
  <c r="G69"/>
  <c r="M58"/>
  <c r="L58"/>
  <c r="K58"/>
  <c r="J58"/>
  <c r="I58"/>
  <c r="H58"/>
  <c r="M42"/>
  <c r="L42"/>
  <c r="K42"/>
  <c r="J42"/>
  <c r="I42"/>
  <c r="M38"/>
  <c r="L38"/>
  <c r="K38"/>
  <c r="I37"/>
  <c r="J38"/>
  <c r="I38"/>
  <c r="I35"/>
  <c r="H35"/>
  <c r="G35"/>
  <c r="J23"/>
  <c r="H22"/>
  <c r="I23"/>
  <c r="G23"/>
  <c r="E22"/>
  <c r="F23"/>
  <c r="D22"/>
  <c r="E23"/>
  <c r="C22"/>
  <c r="D23"/>
  <c r="L19"/>
  <c r="K19"/>
  <c r="I19"/>
  <c r="M7"/>
  <c r="L7"/>
  <c r="K7"/>
  <c r="J7"/>
  <c r="I7"/>
  <c r="F3" i="13"/>
  <c r="F33"/>
  <c r="F32"/>
  <c r="F31"/>
  <c r="F30"/>
  <c r="F29"/>
  <c r="F28"/>
  <c r="F27"/>
  <c r="F26"/>
  <c r="F25"/>
  <c r="F24"/>
  <c r="F23"/>
  <c r="F20"/>
  <c r="F19"/>
  <c r="F18"/>
  <c r="F17"/>
  <c r="F16"/>
  <c r="F15"/>
  <c r="F14"/>
  <c r="F13"/>
  <c r="F12"/>
  <c r="F11"/>
  <c r="F10"/>
  <c r="F9"/>
  <c r="F8"/>
  <c r="F6"/>
  <c r="F5"/>
  <c r="E4"/>
  <c r="F4"/>
  <c r="K51" i="11"/>
  <c r="N51"/>
  <c r="G31"/>
  <c r="J25"/>
  <c r="H25"/>
  <c r="G25"/>
  <c r="K20"/>
  <c r="J20"/>
  <c r="I20"/>
  <c r="H20"/>
  <c r="G20"/>
  <c r="K18"/>
  <c r="J18"/>
  <c r="J13"/>
  <c r="K14"/>
  <c r="J14"/>
  <c r="I14"/>
  <c r="H14"/>
  <c r="J6"/>
  <c r="K7"/>
  <c r="H6"/>
  <c r="J7"/>
  <c r="I6"/>
  <c r="I7"/>
  <c r="G7"/>
  <c r="E6"/>
  <c r="F7"/>
  <c r="D6"/>
  <c r="E7"/>
  <c r="C6"/>
  <c r="D7"/>
  <c r="H9" i="10"/>
  <c r="H15"/>
  <c r="H7"/>
  <c r="H25"/>
  <c r="H22"/>
  <c r="H32"/>
  <c r="H27"/>
  <c r="H6"/>
  <c r="I15"/>
  <c r="I7"/>
  <c r="I22"/>
  <c r="I27"/>
  <c r="I6"/>
  <c r="J15"/>
  <c r="J21"/>
  <c r="J7"/>
  <c r="J22"/>
  <c r="J27"/>
  <c r="J6"/>
  <c r="K9"/>
  <c r="K15"/>
  <c r="K7"/>
  <c r="K22"/>
  <c r="K27"/>
  <c r="K6"/>
  <c r="L7"/>
  <c r="L26"/>
  <c r="L22"/>
  <c r="L27"/>
  <c r="L6"/>
  <c r="P6"/>
  <c r="P7"/>
  <c r="H39"/>
  <c r="H34"/>
  <c r="I34"/>
  <c r="J34"/>
  <c r="K39"/>
  <c r="K49"/>
  <c r="K34"/>
  <c r="L55"/>
  <c r="L34"/>
  <c r="H56"/>
  <c r="J56"/>
  <c r="K56"/>
  <c r="L56"/>
  <c r="H57"/>
  <c r="I57"/>
  <c r="J76"/>
  <c r="N76"/>
  <c r="K231" i="9"/>
  <c r="J231"/>
  <c r="J194"/>
  <c r="K194"/>
  <c r="K175"/>
  <c r="K179"/>
  <c r="K180"/>
  <c r="K171"/>
  <c r="K181"/>
  <c r="K175" i="5"/>
  <c r="L175"/>
  <c r="M175"/>
  <c r="K173"/>
  <c r="L173"/>
  <c r="J105" i="9"/>
  <c r="J93"/>
  <c r="K94"/>
  <c r="J94"/>
  <c r="N42"/>
  <c r="M42"/>
  <c r="L42"/>
  <c r="K42"/>
  <c r="J42"/>
  <c r="M37"/>
  <c r="N37"/>
  <c r="N38"/>
  <c r="M38"/>
  <c r="L38"/>
  <c r="J37"/>
  <c r="K38"/>
  <c r="J22"/>
  <c r="K23"/>
  <c r="I22"/>
  <c r="J23"/>
  <c r="K19"/>
  <c r="N19"/>
  <c r="M19"/>
  <c r="L19"/>
  <c r="J19"/>
  <c r="I19"/>
  <c r="N7"/>
  <c r="L6"/>
  <c r="M7"/>
  <c r="K7"/>
  <c r="J7"/>
  <c r="K229"/>
  <c r="K227"/>
  <c r="J227"/>
  <c r="K218"/>
  <c r="K184"/>
  <c r="K70"/>
  <c r="K58"/>
  <c r="K139"/>
  <c r="K121"/>
  <c r="K127"/>
  <c r="K119"/>
  <c r="K134"/>
  <c r="K118"/>
  <c r="K151"/>
  <c r="K161"/>
  <c r="K146"/>
  <c r="K168"/>
  <c r="J251"/>
  <c r="M251"/>
  <c r="N231"/>
  <c r="M231"/>
  <c r="L231"/>
  <c r="J229"/>
  <c r="G229"/>
  <c r="L228"/>
  <c r="L226"/>
  <c r="M226"/>
  <c r="N226"/>
  <c r="G225"/>
  <c r="J221"/>
  <c r="I221"/>
  <c r="J218"/>
  <c r="G218"/>
  <c r="I216"/>
  <c r="H215"/>
  <c r="H216"/>
  <c r="G216"/>
  <c r="I215"/>
  <c r="I218"/>
  <c r="H218"/>
  <c r="J213"/>
  <c r="L211"/>
  <c r="M211"/>
  <c r="N211"/>
  <c r="L210"/>
  <c r="M210"/>
  <c r="N210"/>
  <c r="N208"/>
  <c r="M208"/>
  <c r="L208"/>
  <c r="N204"/>
  <c r="M204"/>
  <c r="L204"/>
  <c r="K204"/>
  <c r="J204"/>
  <c r="I204"/>
  <c r="H204"/>
  <c r="G202"/>
  <c r="I201"/>
  <c r="N196"/>
  <c r="M196"/>
  <c r="L196"/>
  <c r="K196"/>
  <c r="J196"/>
  <c r="I196"/>
  <c r="H196"/>
  <c r="G196"/>
  <c r="N194"/>
  <c r="M194"/>
  <c r="L194"/>
  <c r="H194"/>
  <c r="K189"/>
  <c r="J187"/>
  <c r="H187"/>
  <c r="H182"/>
  <c r="G187"/>
  <c r="G184"/>
  <c r="G182"/>
  <c r="K183"/>
  <c r="J182"/>
  <c r="I182"/>
  <c r="I180"/>
  <c r="H180"/>
  <c r="G180"/>
  <c r="K178"/>
  <c r="H175"/>
  <c r="H171"/>
  <c r="H188"/>
  <c r="J171"/>
  <c r="J188"/>
  <c r="I171"/>
  <c r="I188"/>
  <c r="G171"/>
  <c r="I169"/>
  <c r="H169"/>
  <c r="N155"/>
  <c r="M155"/>
  <c r="N151"/>
  <c r="N146"/>
  <c r="M151"/>
  <c r="M146"/>
  <c r="H151"/>
  <c r="H146"/>
  <c r="J146"/>
  <c r="I146"/>
  <c r="H144"/>
  <c r="H139"/>
  <c r="N139"/>
  <c r="N118"/>
  <c r="M139"/>
  <c r="L139"/>
  <c r="J139"/>
  <c r="I139"/>
  <c r="H137"/>
  <c r="H134"/>
  <c r="L134"/>
  <c r="J134"/>
  <c r="I134"/>
  <c r="N133"/>
  <c r="M133"/>
  <c r="J133"/>
  <c r="J127"/>
  <c r="I127"/>
  <c r="I119"/>
  <c r="H127"/>
  <c r="N121"/>
  <c r="M121"/>
  <c r="H121"/>
  <c r="L119"/>
  <c r="M118"/>
  <c r="M168"/>
  <c r="L115"/>
  <c r="M115"/>
  <c r="N115"/>
  <c r="L114"/>
  <c r="M114"/>
  <c r="N114"/>
  <c r="N112"/>
  <c r="M112"/>
  <c r="L112"/>
  <c r="K112"/>
  <c r="G111"/>
  <c r="N105"/>
  <c r="M105"/>
  <c r="L105"/>
  <c r="K105"/>
  <c r="H105"/>
  <c r="H100"/>
  <c r="G105"/>
  <c r="L100"/>
  <c r="J100"/>
  <c r="I100"/>
  <c r="L98"/>
  <c r="J98"/>
  <c r="K96"/>
  <c r="I94"/>
  <c r="H94"/>
  <c r="L92"/>
  <c r="G90"/>
  <c r="H88"/>
  <c r="L86"/>
  <c r="M86"/>
  <c r="N86"/>
  <c r="M82"/>
  <c r="N82"/>
  <c r="G82"/>
  <c r="I70"/>
  <c r="H70"/>
  <c r="G69"/>
  <c r="N58"/>
  <c r="M58"/>
  <c r="L58"/>
  <c r="J58"/>
  <c r="I58"/>
  <c r="H58"/>
  <c r="I42"/>
  <c r="H37"/>
  <c r="H38"/>
  <c r="J35"/>
  <c r="I35"/>
  <c r="H35"/>
  <c r="G35"/>
  <c r="G23"/>
  <c r="H22"/>
  <c r="E22"/>
  <c r="F23"/>
  <c r="D22"/>
  <c r="C22"/>
  <c r="H19"/>
  <c r="I7"/>
  <c r="H7"/>
  <c r="K35"/>
  <c r="M94" i="5"/>
  <c r="I7"/>
  <c r="J19"/>
  <c r="G100" i="9"/>
  <c r="K100"/>
  <c r="M100"/>
  <c r="H119"/>
  <c r="H118"/>
  <c r="H168"/>
  <c r="J119"/>
  <c r="J118"/>
  <c r="L118"/>
  <c r="N168"/>
  <c r="D23"/>
  <c r="I23"/>
  <c r="J38"/>
  <c r="N100"/>
  <c r="I118"/>
  <c r="G188"/>
  <c r="J168"/>
  <c r="L229"/>
  <c r="E23"/>
  <c r="I38"/>
  <c r="G181"/>
  <c r="K218" i="5"/>
  <c r="J218"/>
  <c r="O82"/>
  <c r="L114"/>
  <c r="M114"/>
  <c r="N114"/>
  <c r="L115"/>
  <c r="M115"/>
  <c r="N115"/>
  <c r="K189"/>
  <c r="L189"/>
  <c r="M189"/>
  <c r="N189"/>
  <c r="H215"/>
  <c r="H218"/>
  <c r="I215"/>
  <c r="L119"/>
  <c r="L135"/>
  <c r="L140"/>
  <c r="L118"/>
  <c r="K70"/>
  <c r="L58"/>
  <c r="M58"/>
  <c r="N58"/>
  <c r="I58"/>
  <c r="J58"/>
  <c r="K58"/>
  <c r="J171"/>
  <c r="K176"/>
  <c r="L226"/>
  <c r="M226"/>
  <c r="N226"/>
  <c r="K226"/>
  <c r="K194"/>
  <c r="L194"/>
  <c r="M194"/>
  <c r="N194"/>
  <c r="K196"/>
  <c r="L196"/>
  <c r="M196"/>
  <c r="N196"/>
  <c r="K204"/>
  <c r="L204"/>
  <c r="M204"/>
  <c r="N204"/>
  <c r="K179"/>
  <c r="K180"/>
  <c r="K171"/>
  <c r="K96"/>
  <c r="L92"/>
  <c r="L98"/>
  <c r="J98"/>
  <c r="K112"/>
  <c r="K105"/>
  <c r="K100"/>
  <c r="K140"/>
  <c r="H94"/>
  <c r="N94"/>
  <c r="J105"/>
  <c r="J93"/>
  <c r="J94"/>
  <c r="J100"/>
  <c r="L208"/>
  <c r="M208"/>
  <c r="N208"/>
  <c r="K208"/>
  <c r="K228"/>
  <c r="L228"/>
  <c r="K6"/>
  <c r="L6"/>
  <c r="L229"/>
  <c r="J229"/>
  <c r="K231"/>
  <c r="L231"/>
  <c r="M231"/>
  <c r="N231"/>
  <c r="J231"/>
  <c r="M37"/>
  <c r="M38"/>
  <c r="N37"/>
  <c r="N38"/>
  <c r="H35"/>
  <c r="J35"/>
  <c r="L23"/>
  <c r="N22"/>
  <c r="M22"/>
  <c r="N23"/>
  <c r="M23"/>
  <c r="J22"/>
  <c r="I22"/>
  <c r="H22"/>
  <c r="I23"/>
  <c r="G23"/>
  <c r="E22"/>
  <c r="F23"/>
  <c r="D22"/>
  <c r="E23"/>
  <c r="C22"/>
  <c r="D23"/>
  <c r="L38"/>
  <c r="L42"/>
  <c r="M42"/>
  <c r="N42"/>
  <c r="K42"/>
  <c r="K135"/>
  <c r="K119"/>
  <c r="K118"/>
  <c r="J134"/>
  <c r="H19"/>
  <c r="I19"/>
  <c r="J251" i="6"/>
  <c r="L251"/>
  <c r="M231"/>
  <c r="L231"/>
  <c r="K231"/>
  <c r="G229"/>
  <c r="K228"/>
  <c r="K6"/>
  <c r="K229"/>
  <c r="K226"/>
  <c r="L226"/>
  <c r="M226"/>
  <c r="G225"/>
  <c r="M221"/>
  <c r="L221"/>
  <c r="K221"/>
  <c r="J221"/>
  <c r="I221"/>
  <c r="J218"/>
  <c r="I218"/>
  <c r="H218"/>
  <c r="G218"/>
  <c r="I216"/>
  <c r="H216"/>
  <c r="G216"/>
  <c r="J213"/>
  <c r="K213"/>
  <c r="L213"/>
  <c r="M213"/>
  <c r="J211"/>
  <c r="K211"/>
  <c r="L211"/>
  <c r="M211"/>
  <c r="J210"/>
  <c r="K210"/>
  <c r="L210"/>
  <c r="M210"/>
  <c r="M204"/>
  <c r="L204"/>
  <c r="K204"/>
  <c r="J204"/>
  <c r="I204"/>
  <c r="H204"/>
  <c r="G202"/>
  <c r="I201"/>
  <c r="M196"/>
  <c r="L196"/>
  <c r="K196"/>
  <c r="J196"/>
  <c r="I196"/>
  <c r="H196"/>
  <c r="G196"/>
  <c r="M194"/>
  <c r="L194"/>
  <c r="K194"/>
  <c r="J194"/>
  <c r="H194"/>
  <c r="J190"/>
  <c r="K189"/>
  <c r="L189"/>
  <c r="M189"/>
  <c r="L187"/>
  <c r="M187"/>
  <c r="J187"/>
  <c r="H187"/>
  <c r="G187"/>
  <c r="K186"/>
  <c r="L186"/>
  <c r="K184"/>
  <c r="L184"/>
  <c r="L182"/>
  <c r="K185"/>
  <c r="L185"/>
  <c r="M185"/>
  <c r="G184"/>
  <c r="G182"/>
  <c r="K183"/>
  <c r="L183"/>
  <c r="M183"/>
  <c r="J182"/>
  <c r="I182"/>
  <c r="H182"/>
  <c r="K181"/>
  <c r="L181"/>
  <c r="M181"/>
  <c r="K180"/>
  <c r="L180"/>
  <c r="M180"/>
  <c r="I180"/>
  <c r="H180"/>
  <c r="G180"/>
  <c r="K179"/>
  <c r="L179"/>
  <c r="M179"/>
  <c r="K178"/>
  <c r="L178"/>
  <c r="M178"/>
  <c r="K177"/>
  <c r="L177"/>
  <c r="M177"/>
  <c r="K176"/>
  <c r="L176"/>
  <c r="M176"/>
  <c r="K175"/>
  <c r="K173"/>
  <c r="K171"/>
  <c r="K182"/>
  <c r="K188"/>
  <c r="H175"/>
  <c r="L174"/>
  <c r="M174"/>
  <c r="L173"/>
  <c r="J171"/>
  <c r="I171"/>
  <c r="H171"/>
  <c r="G171"/>
  <c r="G188"/>
  <c r="I169"/>
  <c r="H169"/>
  <c r="M155"/>
  <c r="L155"/>
  <c r="L151"/>
  <c r="L146"/>
  <c r="L140"/>
  <c r="L118"/>
  <c r="L168"/>
  <c r="M151"/>
  <c r="K151"/>
  <c r="H151"/>
  <c r="H146"/>
  <c r="M146"/>
  <c r="K146"/>
  <c r="J146"/>
  <c r="I146"/>
  <c r="H145"/>
  <c r="M140"/>
  <c r="M118"/>
  <c r="M168"/>
  <c r="K140"/>
  <c r="J140"/>
  <c r="I140"/>
  <c r="H140"/>
  <c r="H138"/>
  <c r="J135"/>
  <c r="J118"/>
  <c r="J168"/>
  <c r="I135"/>
  <c r="H135"/>
  <c r="M134"/>
  <c r="L134"/>
  <c r="J128"/>
  <c r="I128"/>
  <c r="I119"/>
  <c r="H128"/>
  <c r="M122"/>
  <c r="L122"/>
  <c r="K122"/>
  <c r="H122"/>
  <c r="H119"/>
  <c r="H118"/>
  <c r="H168"/>
  <c r="K118"/>
  <c r="M112"/>
  <c r="L112"/>
  <c r="K112"/>
  <c r="K105"/>
  <c r="K100"/>
  <c r="G111"/>
  <c r="M105"/>
  <c r="M100"/>
  <c r="L105"/>
  <c r="H105"/>
  <c r="H100"/>
  <c r="G105"/>
  <c r="G100"/>
  <c r="L100"/>
  <c r="J100"/>
  <c r="I100"/>
  <c r="M94"/>
  <c r="L94"/>
  <c r="K94"/>
  <c r="J94"/>
  <c r="I94"/>
  <c r="H94"/>
  <c r="G90"/>
  <c r="H88"/>
  <c r="K86"/>
  <c r="L86"/>
  <c r="M86"/>
  <c r="L82"/>
  <c r="M82"/>
  <c r="G82"/>
  <c r="I70"/>
  <c r="H70"/>
  <c r="G69"/>
  <c r="K66"/>
  <c r="L66"/>
  <c r="M66"/>
  <c r="K63"/>
  <c r="L63"/>
  <c r="M63"/>
  <c r="K62"/>
  <c r="L62"/>
  <c r="K61"/>
  <c r="L61"/>
  <c r="K58"/>
  <c r="J58"/>
  <c r="I58"/>
  <c r="H58"/>
  <c r="M42"/>
  <c r="L42"/>
  <c r="K42"/>
  <c r="J42"/>
  <c r="I42"/>
  <c r="H42"/>
  <c r="M38"/>
  <c r="L38"/>
  <c r="J37"/>
  <c r="J38"/>
  <c r="H37"/>
  <c r="H38"/>
  <c r="J35"/>
  <c r="I35"/>
  <c r="H35"/>
  <c r="G35"/>
  <c r="L22"/>
  <c r="L23"/>
  <c r="M22"/>
  <c r="M23"/>
  <c r="J22"/>
  <c r="K23"/>
  <c r="I22"/>
  <c r="H22"/>
  <c r="I23"/>
  <c r="G22"/>
  <c r="H23"/>
  <c r="M19"/>
  <c r="L19"/>
  <c r="K19"/>
  <c r="J19"/>
  <c r="I19"/>
  <c r="H19"/>
  <c r="J7"/>
  <c r="I7"/>
  <c r="H7"/>
  <c r="L6"/>
  <c r="K7"/>
  <c r="L19" i="5"/>
  <c r="K19"/>
  <c r="M184" i="6"/>
  <c r="G181"/>
  <c r="K35"/>
  <c r="K38"/>
  <c r="L228"/>
  <c r="M228"/>
  <c r="M19" i="5"/>
  <c r="N19"/>
  <c r="J251"/>
  <c r="M251"/>
  <c r="G229"/>
  <c r="G225"/>
  <c r="J221"/>
  <c r="I221"/>
  <c r="I218"/>
  <c r="G218"/>
  <c r="I216"/>
  <c r="G216"/>
  <c r="J213"/>
  <c r="J211"/>
  <c r="L211"/>
  <c r="M211"/>
  <c r="N211"/>
  <c r="L210"/>
  <c r="M210"/>
  <c r="N210"/>
  <c r="J204"/>
  <c r="I204"/>
  <c r="H204"/>
  <c r="G202"/>
  <c r="I201"/>
  <c r="J196"/>
  <c r="I196"/>
  <c r="H196"/>
  <c r="G196"/>
  <c r="J194"/>
  <c r="H194"/>
  <c r="J187"/>
  <c r="K187"/>
  <c r="L187"/>
  <c r="M187"/>
  <c r="N187"/>
  <c r="H187"/>
  <c r="G187"/>
  <c r="K186"/>
  <c r="L186"/>
  <c r="M186"/>
  <c r="N186"/>
  <c r="K185"/>
  <c r="L185"/>
  <c r="M185"/>
  <c r="N185"/>
  <c r="K184"/>
  <c r="L184"/>
  <c r="G184"/>
  <c r="G182"/>
  <c r="K183"/>
  <c r="L183"/>
  <c r="M183"/>
  <c r="N183"/>
  <c r="I182"/>
  <c r="H182"/>
  <c r="L181"/>
  <c r="M181"/>
  <c r="N181"/>
  <c r="L180"/>
  <c r="M180"/>
  <c r="N180"/>
  <c r="I180"/>
  <c r="H180"/>
  <c r="G180"/>
  <c r="G171"/>
  <c r="L179"/>
  <c r="M179"/>
  <c r="N179"/>
  <c r="K178"/>
  <c r="L178"/>
  <c r="M178"/>
  <c r="N178"/>
  <c r="K177"/>
  <c r="L177"/>
  <c r="M177"/>
  <c r="N177"/>
  <c r="L176"/>
  <c r="M176"/>
  <c r="N176"/>
  <c r="N175"/>
  <c r="H175"/>
  <c r="L174"/>
  <c r="L171"/>
  <c r="M173"/>
  <c r="I171"/>
  <c r="I188"/>
  <c r="I169"/>
  <c r="H169"/>
  <c r="N155"/>
  <c r="N151"/>
  <c r="N146"/>
  <c r="M155"/>
  <c r="M151"/>
  <c r="M146"/>
  <c r="H151"/>
  <c r="H146"/>
  <c r="J146"/>
  <c r="I146"/>
  <c r="H145"/>
  <c r="H140"/>
  <c r="N140"/>
  <c r="N118"/>
  <c r="N168"/>
  <c r="M140"/>
  <c r="M118"/>
  <c r="M168"/>
  <c r="J140"/>
  <c r="I140"/>
  <c r="H138"/>
  <c r="H135"/>
  <c r="J135"/>
  <c r="I135"/>
  <c r="N134"/>
  <c r="M134"/>
  <c r="J128"/>
  <c r="J119"/>
  <c r="J118"/>
  <c r="I128"/>
  <c r="I119"/>
  <c r="I118"/>
  <c r="H128"/>
  <c r="N122"/>
  <c r="M122"/>
  <c r="H122"/>
  <c r="H119"/>
  <c r="H118"/>
  <c r="H168"/>
  <c r="N112"/>
  <c r="N105"/>
  <c r="N100"/>
  <c r="M112"/>
  <c r="L112"/>
  <c r="L105"/>
  <c r="L100"/>
  <c r="G111"/>
  <c r="M105"/>
  <c r="M100"/>
  <c r="H105"/>
  <c r="H100"/>
  <c r="G105"/>
  <c r="G100"/>
  <c r="I100"/>
  <c r="I94"/>
  <c r="G90"/>
  <c r="H88"/>
  <c r="L86"/>
  <c r="M86"/>
  <c r="N86"/>
  <c r="M82"/>
  <c r="N82"/>
  <c r="G82"/>
  <c r="I70"/>
  <c r="H70"/>
  <c r="G69"/>
  <c r="H58"/>
  <c r="J42"/>
  <c r="I42"/>
  <c r="J37"/>
  <c r="J38"/>
  <c r="H37"/>
  <c r="I38"/>
  <c r="I35"/>
  <c r="G35"/>
  <c r="J7"/>
  <c r="H7"/>
  <c r="K7"/>
  <c r="H171"/>
  <c r="H188"/>
  <c r="L35"/>
  <c r="H38"/>
  <c r="M6"/>
  <c r="M7"/>
  <c r="L7" i="9"/>
  <c r="L35"/>
  <c r="L35" i="6"/>
  <c r="L7"/>
  <c r="M6"/>
  <c r="M173"/>
  <c r="O118" i="5"/>
  <c r="J168"/>
  <c r="M184"/>
  <c r="L182"/>
  <c r="I118" i="6"/>
  <c r="N118"/>
  <c r="N119"/>
  <c r="L58"/>
  <c r="M62"/>
  <c r="M58"/>
  <c r="L188" i="5"/>
  <c r="M229" i="6"/>
  <c r="K182" i="5"/>
  <c r="K188"/>
  <c r="N173"/>
  <c r="G188"/>
  <c r="G181"/>
  <c r="N6"/>
  <c r="M35"/>
  <c r="O119"/>
  <c r="M174"/>
  <c r="N174"/>
  <c r="L229" i="6"/>
  <c r="J23"/>
  <c r="I38"/>
  <c r="L175"/>
  <c r="M175"/>
  <c r="M186"/>
  <c r="M182"/>
  <c r="J23" i="5"/>
  <c r="K23"/>
  <c r="M229"/>
  <c r="L7"/>
  <c r="H216"/>
  <c r="K35"/>
  <c r="K229"/>
  <c r="K93"/>
  <c r="K38"/>
  <c r="J182"/>
  <c r="J188"/>
  <c r="M35" i="9"/>
  <c r="M229"/>
  <c r="K94" i="5"/>
  <c r="L94"/>
  <c r="M171"/>
  <c r="M182"/>
  <c r="M188"/>
  <c r="M171" i="6"/>
  <c r="M188"/>
  <c r="N7" i="5"/>
  <c r="N229"/>
  <c r="N35"/>
  <c r="M7" i="6"/>
  <c r="M35"/>
  <c r="N184" i="5"/>
  <c r="N182"/>
  <c r="N188"/>
  <c r="L171" i="6"/>
  <c r="L188"/>
  <c r="N229" i="9"/>
  <c r="N35"/>
  <c r="K182"/>
  <c r="K188"/>
  <c r="N27" i="14" l="1"/>
  <c r="M22"/>
  <c r="M23" s="1"/>
  <c r="L22"/>
  <c r="L23" s="1"/>
  <c r="N22"/>
  <c r="N23" l="1"/>
</calcChain>
</file>

<file path=xl/sharedStrings.xml><?xml version="1.0" encoding="utf-8"?>
<sst xmlns="http://schemas.openxmlformats.org/spreadsheetml/2006/main" count="3227" uniqueCount="311">
  <si>
    <t>единиц</t>
  </si>
  <si>
    <t xml:space="preserve"> Прогноз социально-экономического развития  на 2016  год  и на плановый период   2017 и 2018 годов</t>
  </si>
  <si>
    <t>Показатели</t>
  </si>
  <si>
    <t>Единица измерения</t>
  </si>
  <si>
    <t>Код</t>
  </si>
  <si>
    <t>Доп. Код</t>
  </si>
  <si>
    <t>Код отрасли</t>
  </si>
  <si>
    <t>Форма собственности</t>
  </si>
  <si>
    <t>отчет</t>
  </si>
  <si>
    <t>оценка</t>
  </si>
  <si>
    <t>прогноз</t>
  </si>
  <si>
    <t>1. Демографические показатели</t>
  </si>
  <si>
    <t xml:space="preserve">Численность постоянного населения (среднегодовая) </t>
  </si>
  <si>
    <t>тыс. человек</t>
  </si>
  <si>
    <t xml:space="preserve">темп роста </t>
  </si>
  <si>
    <t>% к пред.  году</t>
  </si>
  <si>
    <t xml:space="preserve">индекс-дефлятор </t>
  </si>
  <si>
    <t>2. Производство товаров и услуг</t>
  </si>
  <si>
    <t xml:space="preserve">   2.1. Валовой региональный продукт</t>
  </si>
  <si>
    <t>Расчеты ВРП  Дагестанстат  рассчитывает только по республике</t>
  </si>
  <si>
    <t xml:space="preserve">Валовой региональный продукт (в основных ценах соответствующих лет) - всего </t>
  </si>
  <si>
    <t xml:space="preserve">млн. руб. </t>
  </si>
  <si>
    <t>2.2.1 Выпуск товаров и услуг</t>
  </si>
  <si>
    <t>Выпуск товаров и услуг</t>
  </si>
  <si>
    <t>млн. руб. в основных ценах соответствующих лет</t>
  </si>
  <si>
    <t>2.2. Промышленное производство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</si>
  <si>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</si>
  <si>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</t>
  </si>
  <si>
    <t>2.3. Сельское хозяйство</t>
  </si>
  <si>
    <t>Продукция сельского хозяйства  в хозяйствах всех категорий</t>
  </si>
  <si>
    <t xml:space="preserve">млн.руб. </t>
  </si>
  <si>
    <t>в том числе:</t>
  </si>
  <si>
    <t>Продукция растениеводства</t>
  </si>
  <si>
    <t>Продукция животноводства</t>
  </si>
  <si>
    <t>2.4. Транспорт и связь</t>
  </si>
  <si>
    <t>2.4.1. Транспорт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</si>
  <si>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</t>
  </si>
  <si>
    <t>км</t>
  </si>
  <si>
    <t>2.4.2. Связь</t>
  </si>
  <si>
    <t>Объем  услуг связи - всего</t>
  </si>
  <si>
    <t>-</t>
  </si>
  <si>
    <t>Плотность телефонных аппаратов фиксированной электросвязи на 100 человек населения</t>
  </si>
  <si>
    <t>Количество абонентов, подключенных к сетям подвижной связи</t>
  </si>
  <si>
    <t>млн.ед.</t>
  </si>
  <si>
    <t>Количество почтовых ящиков на 10000 человек</t>
  </si>
  <si>
    <t>2.5. Строительство</t>
  </si>
  <si>
    <t xml:space="preserve">Объем работ, выполненных по виду деятельности "строительство" </t>
  </si>
  <si>
    <t>3. Рынок товаров и услуг</t>
  </si>
  <si>
    <t xml:space="preserve">Оборот розничной торговли </t>
  </si>
  <si>
    <t>млн. руб.</t>
  </si>
  <si>
    <t>4. Внешнеэкономическая деятельность</t>
  </si>
  <si>
    <t>Экспорт товаров</t>
  </si>
  <si>
    <t xml:space="preserve"> млн. долл. США</t>
  </si>
  <si>
    <t>Импорт товаров</t>
  </si>
  <si>
    <t xml:space="preserve">5. Малое и среднее предпринимательство </t>
  </si>
  <si>
    <t>Число средних предприятий (на конец года)</t>
  </si>
  <si>
    <t>в том числе по отдельным видам экономической деятельности:</t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</si>
  <si>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</si>
  <si>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</si>
  <si>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</si>
  <si>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</si>
  <si>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>оптовая и розничная торговля, ремонт автотранспортных средств, мотоциклов, бытовых изделий и предметов личного пользования</t>
  </si>
  <si>
    <t>транспорт и связь</t>
  </si>
  <si>
    <t>операции с недвижимом имуществом, аренда и предоставление услуг, в том числе:</t>
  </si>
  <si>
    <t xml:space="preserve">       научные исследования и разработки</t>
  </si>
  <si>
    <t>Число малых предприятий, включая микропредприятия (на конец года)</t>
  </si>
  <si>
    <t>сельское хозяйство, охота и лесное хозяйство</t>
  </si>
  <si>
    <t>ПРОЧИЕ</t>
  </si>
  <si>
    <t>Среднесписочная численность работников (без внешних совместителей) малых предприятий включая микропредприятия</t>
  </si>
  <si>
    <t>Оборот средних предприятий</t>
  </si>
  <si>
    <t>в том числе по видам экономической деятельности:</t>
  </si>
  <si>
    <t>операции с недвижимом имуществом, аренда и предоставление услуг</t>
  </si>
  <si>
    <t>научные исследования и разработки</t>
  </si>
  <si>
    <t>Оборот малых предприятий, включая микропредприятия</t>
  </si>
  <si>
    <t>сельское хозяйство,охота и лесное хозяйство</t>
  </si>
  <si>
    <t>6. Инвестиции</t>
  </si>
  <si>
    <t>Объем инвестиций в основной капитал за счет всех источников финансирования</t>
  </si>
  <si>
    <t>Объем инвестиций в основной капитал, финансируемых за счет собственных средств организаций</t>
  </si>
  <si>
    <t>из них:</t>
  </si>
  <si>
    <t>прибыль</t>
  </si>
  <si>
    <t>амортизация</t>
  </si>
  <si>
    <t>Объем инвестиций в основной капитал, финансируемых за счет привлеченных средств</t>
  </si>
  <si>
    <t>кредиты банков</t>
  </si>
  <si>
    <t>в том числе кредиты иностранных банков</t>
  </si>
  <si>
    <t>заемные средства других организаций</t>
  </si>
  <si>
    <t>бюджетные средства</t>
  </si>
  <si>
    <t>из федерального бюджета</t>
  </si>
  <si>
    <t>из него по федеральной адресной инвестиционной программе</t>
  </si>
  <si>
    <t>из бюджетов субъектов федерации</t>
  </si>
  <si>
    <t>средства местного фондов</t>
  </si>
  <si>
    <t xml:space="preserve">прочие  </t>
  </si>
  <si>
    <t>Ввод в действие основных фондов</t>
  </si>
  <si>
    <t>7. Основные фонды</t>
  </si>
  <si>
    <t>Ввод действии новых основных фондов</t>
  </si>
  <si>
    <t>млн.руб.</t>
  </si>
  <si>
    <t>Среднегодовая стоимость ОФ</t>
  </si>
  <si>
    <t>Ввод действию жилых домов за счет всех источников финансирования</t>
  </si>
  <si>
    <t>тыс.кв.м общ.пл-ди</t>
  </si>
  <si>
    <t>8. Финансы</t>
  </si>
  <si>
    <t>Доходы местного бюджета - всего</t>
  </si>
  <si>
    <t>Налоговые доходы</t>
  </si>
  <si>
    <t>налоги на прибыль - всего</t>
  </si>
  <si>
    <t>налог на доходы физических лиц</t>
  </si>
  <si>
    <t>налоги на имущество - всего</t>
  </si>
  <si>
    <t>налог на имущество физических лиц</t>
  </si>
  <si>
    <t>транспортный налог</t>
  </si>
  <si>
    <t>земельный налог</t>
  </si>
  <si>
    <t>налоги на товары (работы, услуги) реализуемые на территории РФ</t>
  </si>
  <si>
    <t>акцизы по подакцизным товарам, производимым на территории РФ</t>
  </si>
  <si>
    <t>налоги на совокупный доход - всего</t>
  </si>
  <si>
    <t>единый налог на временный доход для отдельных видов деятельности</t>
  </si>
  <si>
    <t>единый налог, взимаемый по упрощенной системе налогообложения</t>
  </si>
  <si>
    <t>единый сельскохозяйственный налог</t>
  </si>
  <si>
    <t>налоги, сборы и платежи за пользование природными ресурсами</t>
  </si>
  <si>
    <t>НДС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</si>
  <si>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</si>
  <si>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</si>
  <si>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</si>
  <si>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в том числе от сдачи в аренду муниципального имущества</t>
  </si>
  <si>
    <t>доходы от продажи материальных и нематериальных активов</t>
  </si>
  <si>
    <t>другие неналоговые доходы</t>
  </si>
  <si>
    <t>Безвозмездные поступления - всего</t>
  </si>
  <si>
    <t>дотации от других бюджетов бюджетной системы РФ</t>
  </si>
  <si>
    <t>субвенции от других бюджетов бюджетной системы РФ</t>
  </si>
  <si>
    <t>средства, получаемые на компенсацию дополнительных расходов по решениям, принятым органами власти другого уровня</t>
  </si>
  <si>
    <t>субсидии от других бюджетов бюджетной системы РФ</t>
  </si>
  <si>
    <t>прочие безвозмездные поступления</t>
  </si>
  <si>
    <t>Расходы местного бюджета - всего</t>
  </si>
  <si>
    <t>Общегосударственные вопросы</t>
  </si>
  <si>
    <t>функционирование законодательных (представительных) органов МС</t>
  </si>
  <si>
    <t>функционирование местных администраций</t>
  </si>
  <si>
    <t>обслуживание государственного и муниципального долга</t>
  </si>
  <si>
    <t>Национальная экономика</t>
  </si>
  <si>
    <t>топливо и энергетика</t>
  </si>
  <si>
    <t>сельское хозяйство и рыболовство</t>
  </si>
  <si>
    <t>транспорт-дорожное хозяйство</t>
  </si>
  <si>
    <t>другие вопросы в области национальной экономики</t>
  </si>
  <si>
    <t>Жилищно-коммунальное хозяйство</t>
  </si>
  <si>
    <t>Охрана окружающей среды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</si>
  <si>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</si>
  <si>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</si>
  <si>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</si>
  <si>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</si>
  <si>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</si>
  <si>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</si>
  <si>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</si>
  <si>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другие вопросы в области социальной политики</t>
  </si>
  <si>
    <t>Дотации на выравнивание бюджетной обеспеченности субъектов Российской Федерации и муниципальных образований</t>
  </si>
  <si>
    <t>Прочие расходы</t>
  </si>
  <si>
    <t>Дефицит (минус) профицит (плюс) местного бюджета</t>
  </si>
  <si>
    <t>Внутренний муниципальный долг (на конец периода)</t>
  </si>
  <si>
    <t>9. Денежные доходы и расходы населения</t>
  </si>
  <si>
    <t>Денежные доходы населения</t>
  </si>
  <si>
    <t>доходы от предпринимательской деятельности</t>
  </si>
  <si>
    <t>оплата труда, включая скрытую заработную плату</t>
  </si>
  <si>
    <t>социальные выплаты - всего</t>
  </si>
  <si>
    <t>пенсии</t>
  </si>
  <si>
    <t>пособия и социальная помощь</t>
  </si>
  <si>
    <t>стипендии</t>
  </si>
  <si>
    <t>доходы от собственности</t>
  </si>
  <si>
    <t>другие доходы</t>
  </si>
  <si>
    <t>Денежные доходы в расчете на душу населения в месяц</t>
  </si>
  <si>
    <t>рублей</t>
  </si>
  <si>
    <t>Расходы населения</t>
  </si>
  <si>
    <t xml:space="preserve"> </t>
  </si>
  <si>
    <t>покупка товаров и оплата услуг</t>
  </si>
  <si>
    <t>из них покупка товаров</t>
  </si>
  <si>
    <t>обязательные платежи и разнообразные взносы</t>
  </si>
  <si>
    <t>прочие расходы</t>
  </si>
  <si>
    <t>Превышение доходов над расходами (+), или расходов над доходами (-)</t>
  </si>
  <si>
    <t>Средний размер назначенных месячных пенсий пенсионеров, состоящих на учете в системе Пенсионного фонда РФ</t>
  </si>
  <si>
    <t>руб.</t>
  </si>
  <si>
    <t>10. Труд и занятость</t>
  </si>
  <si>
    <t>Численность трудовых ресурсов</t>
  </si>
  <si>
    <t>Численность занятых в экономике (среднегодовая)</t>
  </si>
  <si>
    <t>Распределение среднегодовой численности занятых в экономике по формам собственности:</t>
  </si>
  <si>
    <t>на предприятиях и в организациях государственной и муниципальной форм собственности</t>
  </si>
  <si>
    <t>в общественных объединениях и организациях</t>
  </si>
  <si>
    <t>на предприятиях и организациях со смешанной формой собственности</t>
  </si>
  <si>
    <t>в предприятиях с иностранным участием</t>
  </si>
  <si>
    <t>в частном секторе</t>
  </si>
  <si>
    <t>в том числе занятые:</t>
  </si>
  <si>
    <t>в крестьянских (фермерских) хозяйствах (включая наемных работников)</t>
  </si>
  <si>
    <t>на частных предприятиях</t>
  </si>
  <si>
    <t>индивидуальным трудом и по найму у отдельных граждан, включая занятых в домашнем хозяйстве производством товаров и услуг для реализации (включая личное подсобное хозяйство)</t>
  </si>
  <si>
    <t>Учащиеся в трудоспособном возрасте, обучающиеся с отрывом от производства</t>
  </si>
  <si>
    <t>Трудоспособные лица в трудоспособном возрасте, не занятые трудовой деятельностью и учебой</t>
  </si>
  <si>
    <t>Уровень безработицы (по методологии МОТ)</t>
  </si>
  <si>
    <t>%</t>
  </si>
  <si>
    <t>Уровень зарегистрированной безработицы</t>
  </si>
  <si>
    <t>Численность безработных (по методологии МОТ)</t>
  </si>
  <si>
    <t>Численность безработных, зарегистрированных в  государственных учреждениях службы занятости населения (на конец года)</t>
  </si>
  <si>
    <t>Среднесписочная численность работников организаций - всего</t>
  </si>
  <si>
    <t>Фонд начисленной заработной платы всех работников</t>
  </si>
  <si>
    <t>Выплаты социального характера - всего</t>
  </si>
  <si>
    <t>11. Развитие социальной сферы</t>
  </si>
  <si>
    <t>Численность детей в дошкольных образовательных учреждениях</t>
  </si>
  <si>
    <t>человек</t>
  </si>
  <si>
    <t>Численность обучающихся в образовательных  учреждениях:</t>
  </si>
  <si>
    <t>государственных и муниципальных (без вечерних (сменных)</t>
  </si>
  <si>
    <t>вечерних (сменных)</t>
  </si>
  <si>
    <t>негосударственных</t>
  </si>
  <si>
    <t>Численность обучающихся в первую смену в государственных и муниципальных общеобразовательных учреждениях (без вечерних (сменных) общеобразовательных учреждений)</t>
  </si>
  <si>
    <t xml:space="preserve"> %</t>
  </si>
  <si>
    <t xml:space="preserve">Ввод в действие жилых домов </t>
  </si>
  <si>
    <t>тыс. кв. м общей площади</t>
  </si>
  <si>
    <t>в том числе за счет:</t>
  </si>
  <si>
    <t>средств федерального бюджета</t>
  </si>
  <si>
    <t>средств бюджетов субъектов Российской Федерации и средств местного бюджета</t>
  </si>
  <si>
    <t>из общего итога - индивидуальные жилые дома, построенные населением за свой счет и с помощью кредитов</t>
  </si>
  <si>
    <t>Общая площадь жилых помещений, приходящаяся в среднем на 1 жителя  (на конец года)</t>
  </si>
  <si>
    <t>кв. м</t>
  </si>
  <si>
    <t>Стоимость предоставляемых населению жилищно-коммунальных услуг, рассчитанная по экономически обоснованным тарифам</t>
  </si>
  <si>
    <t>тыс. руб.</t>
  </si>
  <si>
    <t xml:space="preserve">Фактический уровень платежей населения за жилое помещение  и коммунальные услуги </t>
  </si>
  <si>
    <t>Численность пенсионеров, состоящих на учете в системе Пенсионного фонда РФ</t>
  </si>
  <si>
    <t>тыс. чел.</t>
  </si>
  <si>
    <t>человек на 1 000 человек населения</t>
  </si>
  <si>
    <t>Объем платных услуг населению</t>
  </si>
  <si>
    <t xml:space="preserve"> И.о. Начальника отдела экономики и управления муниципальным имуществом                               М.А. Алиева</t>
  </si>
  <si>
    <t xml:space="preserve"> Прогноз социально-экономического развития  на 2017  год  и на плановый период   2018 и 2019 годов</t>
  </si>
  <si>
    <t>газпром и бурбао</t>
  </si>
  <si>
    <t>авган-5чел</t>
  </si>
  <si>
    <t>черноб-2 чел</t>
  </si>
  <si>
    <t>1- вдова учасника боевых дейст</t>
  </si>
  <si>
    <t xml:space="preserve"> Прогноз социально-экономического развития  на 2018  год  и на плановый период   2019 и 2020 годов</t>
  </si>
  <si>
    <t>Отчет</t>
  </si>
  <si>
    <t>Прогноз</t>
  </si>
  <si>
    <t>возврат субвенций</t>
  </si>
  <si>
    <t>возврат субвенции</t>
  </si>
  <si>
    <t>оценка за 9 месяцев   2017</t>
  </si>
  <si>
    <t>оценка за 9 месяцев 2017 г.</t>
  </si>
  <si>
    <t>№ по п/п</t>
  </si>
  <si>
    <t>Наименование показателя</t>
  </si>
  <si>
    <t>Ед.изм.</t>
  </si>
  <si>
    <t>Объем отгруженных товаров собственного производства, выполненных работ и услуг предприятиями промышленности</t>
  </si>
  <si>
    <t>Продукция сельского хозяйства, всего</t>
  </si>
  <si>
    <t>2.1</t>
  </si>
  <si>
    <t>продукция растениеводства</t>
  </si>
  <si>
    <t>2.2</t>
  </si>
  <si>
    <t>продукция животноводства</t>
  </si>
  <si>
    <t>Объем инвестиций в основной капитал:</t>
  </si>
  <si>
    <t>5.1</t>
  </si>
  <si>
    <t>за счет всех источников финансирования</t>
  </si>
  <si>
    <t>5.2</t>
  </si>
  <si>
    <t>за исключением бюджетных средств</t>
  </si>
  <si>
    <t>Объем выполненных работ по виду деятельности "строительство"</t>
  </si>
  <si>
    <t>Ввод в действие жилых домов</t>
  </si>
  <si>
    <t>кв.м.</t>
  </si>
  <si>
    <t>Общая площадь жилых помещений, приходящаяся в среднем на 1 жителя</t>
  </si>
  <si>
    <t>Оборот розничной торговли</t>
  </si>
  <si>
    <t>Оборот субъектов малого и среднего предпринимательства</t>
  </si>
  <si>
    <t>Число субъектов малого и среднего предпринимательства всего (действующих)</t>
  </si>
  <si>
    <t>ед.</t>
  </si>
  <si>
    <t>13.1</t>
  </si>
  <si>
    <t>малых и средних предприятий</t>
  </si>
  <si>
    <t>13.2</t>
  </si>
  <si>
    <t>индивидуальных предпринимателей</t>
  </si>
  <si>
    <t>Налоговые и неналоговые доходы бюджета муниципального района (городского округа)</t>
  </si>
  <si>
    <t>Доля финансовой помощи из республиканского бюджета РД в общем объеме доходов бюджета муниципального района (городского округа) (без учета субвенций)</t>
  </si>
  <si>
    <t>Среднемесячная номинальная начисленная заработная плата:</t>
  </si>
  <si>
    <t>17.1</t>
  </si>
  <si>
    <t>работников организаций муниципального района (городского округа) - всего</t>
  </si>
  <si>
    <t>17.2</t>
  </si>
  <si>
    <t>педагогических работников муниципальных общеобразовательных учреждений</t>
  </si>
  <si>
    <t>17.3</t>
  </si>
  <si>
    <t>педагогических работников муниципальных дошкольных образовательных учреждений</t>
  </si>
  <si>
    <t>17.4</t>
  </si>
  <si>
    <t>работников муниципальных учреждений культуры и искусства</t>
  </si>
  <si>
    <t>17.5</t>
  </si>
  <si>
    <t>педагогических работников муниципальных учреждений дополнительного образования детей</t>
  </si>
  <si>
    <t>Число вновь созданных рабочих мест всего</t>
  </si>
  <si>
    <t>18.1</t>
  </si>
  <si>
    <t>высокопроизводительные рабочие места</t>
  </si>
  <si>
    <t>18.2</t>
  </si>
  <si>
    <t>в рамках реализации инвестиционных проектов</t>
  </si>
  <si>
    <t>Доля детей в возрасте 1 –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</si>
  <si>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Удельный вес населения, систематически занимающегося физической культурой и спортом</t>
  </si>
  <si>
    <t>Доля обустроенных объектов культурного наследия к общей численности объектов культурного наследия, находящихся в муниципальной собственности</t>
  </si>
  <si>
    <t>Доля муниципальных услуг, переведенных на предоставление в электронной форме, от общего объема предоставленных услуг населению органами местного самоуправления</t>
  </si>
  <si>
    <t>* показатели представляются  один раз в год</t>
  </si>
  <si>
    <t>Обеспеченность (охват) детей дошкольными учреждениями</t>
  </si>
  <si>
    <t>Итоги СЭР за 9 месяцев</t>
  </si>
  <si>
    <t>Плановые показатели на 2017г.</t>
  </si>
  <si>
    <t xml:space="preserve"> И.о. начальника отдела экономики и прогнозирования                                                           М.А. Алиева</t>
  </si>
  <si>
    <t xml:space="preserve"> Показатели
 социально-экономического развития
муниципального образования «Кизилюртовский район» на 2017г.
</t>
  </si>
  <si>
    <t>прочие</t>
  </si>
  <si>
    <t xml:space="preserve">Анализ показателей
 социально-экономического развития
муниципального образования «Кизилюртовский район» за 9 месяцев 2016 и 2017 гг.
</t>
  </si>
  <si>
    <t>9 месяцев 2016</t>
  </si>
  <si>
    <t>9 месяцев 2017</t>
  </si>
  <si>
    <t>Анализ</t>
  </si>
  <si>
    <t>Анализ в %</t>
  </si>
  <si>
    <t>Общая площадь пашни*</t>
  </si>
  <si>
    <t>га</t>
  </si>
  <si>
    <t>3.1</t>
  </si>
  <si>
    <t>в том числе используемая</t>
  </si>
  <si>
    <t>Площадь закладки многолетних насаждений:*</t>
  </si>
  <si>
    <t>4.1</t>
  </si>
  <si>
    <t>виноградников</t>
  </si>
  <si>
    <t>4.2</t>
  </si>
  <si>
    <t>садов</t>
  </si>
  <si>
    <t>Площадь земельных участков, предоставленных для строительства в расчете на 10 тыс. человек населения*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</si>
  <si>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организаций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</si>
  <si>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предметам*</t>
  </si>
  <si>
    <t>Удельный вес обучающихся в муниципальных общеобразовательных учреждениях, занимающихся в первую смену*</t>
  </si>
  <si>
    <t>Охват детей дошкольными образовательными учреждениями*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</si>
  <si>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значения*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</si>
  <si>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района*</t>
  </si>
  <si>
    <t>Доля населения, участвующего в культурно-досуговых мероприятиях, организованных органами местного самоуправления муниципальных районов и городских округов*</t>
  </si>
  <si>
    <t>Доля выпускников 11 классов, получивших рабочую специальность, в общем числе выпускников 11 классов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</si>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</sst>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[$€-1]_-;\-* #,##0.00[$€-1]_-;_-* &quot;-&quot;??[$€-1]_-"/>
    <numFmt numFmtId="166" formatCode="0.0"/>
    <numFmt numFmtId="167" formatCode="0.000"/>
    <numFmt numFmtId="168" formatCode="_-* #,##0_р_._-;\-* #,##0_р_._-;_-* &quot;-&quot;??_р_._-;_-@_-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</font>
    <font>
      <sz val="9"/>
      <name val="Arial Cyr"/>
      <family val="2"/>
      <charset val="204"/>
    </font>
    <font>
      <b/>
      <sz val="8"/>
      <name val="Tahoma"/>
      <family val="2"/>
    </font>
    <font>
      <b/>
      <sz val="12"/>
      <color indexed="8"/>
      <name val="Tahoma"/>
      <family val="2"/>
    </font>
    <font>
      <sz val="11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</font>
    <font>
      <i/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color indexed="8"/>
      <name val="Tahoma"/>
      <family val="2"/>
    </font>
    <font>
      <sz val="8"/>
      <name val="Arial Cyr"/>
      <family val="2"/>
      <charset val="204"/>
    </font>
    <font>
      <sz val="9"/>
      <name val="Arial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Arial Cyr"/>
      <charset val="204"/>
    </font>
    <font>
      <b/>
      <sz val="8"/>
      <color indexed="8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7"/>
      <name val="HelveticaCyr-Upright"/>
    </font>
    <font>
      <sz val="8"/>
      <name val="Arial"/>
      <family val="2"/>
      <charset val="204"/>
    </font>
    <font>
      <b/>
      <sz val="11"/>
      <color indexed="8"/>
      <name val="Tahoma"/>
      <family val="2"/>
      <charset val="204"/>
    </font>
    <font>
      <sz val="11"/>
      <color indexed="8"/>
      <name val="Courier New"/>
      <family val="3"/>
      <charset val="204"/>
    </font>
    <font>
      <sz val="7.5"/>
      <color indexed="8"/>
      <name val="Tahoma"/>
      <family val="2"/>
    </font>
    <font>
      <sz val="8"/>
      <color indexed="8"/>
      <name val="Arial Cyr"/>
      <family val="2"/>
      <charset val="204"/>
    </font>
    <font>
      <sz val="8"/>
      <name val="Verdana"/>
      <family val="2"/>
      <charset val="204"/>
    </font>
    <font>
      <i/>
      <sz val="10"/>
      <color indexed="8"/>
      <name val="Tahoma"/>
      <family val="2"/>
      <charset val="204"/>
    </font>
    <font>
      <sz val="14"/>
      <color indexed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8"/>
      <name val="Courier New"/>
      <family val="3"/>
      <charset val="204"/>
    </font>
    <font>
      <b/>
      <sz val="9"/>
      <name val="Arial Cyr"/>
      <charset val="204"/>
    </font>
    <font>
      <sz val="10"/>
      <name val="Tahoma"/>
      <family val="2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Verdana"/>
      <family val="2"/>
      <charset val="204"/>
    </font>
    <font>
      <b/>
      <sz val="8"/>
      <name val="Arial Cyr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0"/>
      <color theme="0"/>
      <name val="Tahoma"/>
      <family val="2"/>
      <charset val="204"/>
    </font>
    <font>
      <b/>
      <sz val="10"/>
      <name val="Verdana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  <font>
      <sz val="10"/>
      <color indexed="8"/>
      <name val="Calibri"/>
      <family val="2"/>
      <charset val="204"/>
    </font>
    <font>
      <sz val="9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164" fontId="6" fillId="0" borderId="0" applyFont="0" applyFill="0" applyBorder="0" applyAlignment="0" applyProtection="0"/>
    <xf numFmtId="0" fontId="5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6" fillId="0" borderId="0" applyFont="0" applyFill="0" applyBorder="0" applyAlignment="0" applyProtection="0"/>
  </cellStyleXfs>
  <cellXfs count="420">
    <xf numFmtId="0" fontId="0" fillId="0" borderId="0" xfId="0"/>
    <xf numFmtId="0" fontId="9" fillId="0" borderId="0" xfId="15" applyFont="1" applyFill="1" applyProtection="1"/>
    <xf numFmtId="49" fontId="10" fillId="0" borderId="1" xfId="15" applyNumberFormat="1" applyFont="1" applyFill="1" applyBorder="1" applyAlignment="1" applyProtection="1">
      <alignment horizontal="centerContinuous" vertical="center"/>
    </xf>
    <xf numFmtId="49" fontId="10" fillId="0" borderId="1" xfId="15" applyNumberFormat="1" applyFont="1" applyFill="1" applyBorder="1" applyAlignment="1" applyProtection="1">
      <alignment horizontal="centerContinuous" vertical="center" wrapText="1"/>
    </xf>
    <xf numFmtId="49" fontId="10" fillId="0" borderId="1" xfId="15" applyNumberFormat="1" applyFont="1" applyFill="1" applyBorder="1" applyAlignment="1" applyProtection="1">
      <alignment horizontal="center" vertical="center" wrapText="1"/>
    </xf>
    <xf numFmtId="0" fontId="10" fillId="0" borderId="1" xfId="15" applyFont="1" applyBorder="1" applyAlignment="1" applyProtection="1">
      <alignment horizontal="centerContinuous" vertical="center" wrapText="1"/>
    </xf>
    <xf numFmtId="0" fontId="10" fillId="0" borderId="1" xfId="15" applyFont="1" applyFill="1" applyBorder="1" applyAlignment="1" applyProtection="1">
      <alignment horizontal="centerContinuous" vertical="center"/>
    </xf>
    <xf numFmtId="0" fontId="10" fillId="0" borderId="1" xfId="15" applyFont="1" applyFill="1" applyBorder="1" applyAlignment="1" applyProtection="1">
      <alignment horizontal="centerContinuous"/>
    </xf>
    <xf numFmtId="0" fontId="10" fillId="0" borderId="1" xfId="15" applyFont="1" applyFill="1" applyBorder="1" applyAlignment="1" applyProtection="1">
      <alignment horizontal="right"/>
    </xf>
    <xf numFmtId="0" fontId="11" fillId="3" borderId="1" xfId="15" applyFont="1" applyFill="1" applyBorder="1" applyAlignment="1" applyProtection="1">
      <alignment horizontal="left" vertical="center" wrapText="1"/>
    </xf>
    <xf numFmtId="0" fontId="12" fillId="3" borderId="1" xfId="15" applyFont="1" applyFill="1" applyBorder="1" applyAlignment="1" applyProtection="1">
      <alignment horizontal="center" vertical="center" wrapText="1"/>
    </xf>
    <xf numFmtId="2" fontId="13" fillId="0" borderId="1" xfId="15" applyNumberFormat="1" applyFont="1" applyFill="1" applyBorder="1" applyAlignment="1" applyProtection="1">
      <alignment horizontal="center" vertical="center"/>
      <protection locked="0"/>
    </xf>
    <xf numFmtId="2" fontId="13" fillId="0" borderId="1" xfId="15" applyNumberFormat="1" applyFont="1" applyFill="1" applyBorder="1" applyAlignment="1" applyProtection="1">
      <alignment horizontal="center" vertical="top" wrapText="1"/>
      <protection locked="0"/>
    </xf>
    <xf numFmtId="0" fontId="9" fillId="0" borderId="1" xfId="15" applyFont="1" applyFill="1" applyBorder="1" applyProtection="1"/>
    <xf numFmtId="0" fontId="13" fillId="2" borderId="1" xfId="15" applyFont="1" applyFill="1" applyBorder="1" applyAlignment="1" applyProtection="1">
      <alignment horizontal="left" vertical="center" wrapText="1" indent="1"/>
    </xf>
    <xf numFmtId="0" fontId="13" fillId="2" borderId="1" xfId="15" applyFont="1" applyFill="1" applyBorder="1" applyAlignment="1" applyProtection="1">
      <alignment horizontal="center" vertical="center" wrapText="1"/>
    </xf>
    <xf numFmtId="2" fontId="15" fillId="2" borderId="1" xfId="15" applyNumberFormat="1" applyFont="1" applyFill="1" applyBorder="1" applyAlignment="1" applyProtection="1">
      <alignment horizontal="right" vertical="center"/>
    </xf>
    <xf numFmtId="2" fontId="13" fillId="2" borderId="1" xfId="15" applyNumberFormat="1" applyFont="1" applyFill="1" applyBorder="1" applyAlignment="1" applyProtection="1">
      <alignment horizontal="center" vertical="top" wrapText="1"/>
      <protection locked="0"/>
    </xf>
    <xf numFmtId="2" fontId="14" fillId="2" borderId="1" xfId="15" applyNumberFormat="1" applyFont="1" applyFill="1" applyBorder="1" applyAlignment="1" applyProtection="1">
      <alignment horizontal="right"/>
      <protection locked="0"/>
    </xf>
    <xf numFmtId="2" fontId="16" fillId="2" borderId="1" xfId="15" applyNumberFormat="1" applyFont="1" applyFill="1" applyBorder="1" applyAlignment="1" applyProtection="1">
      <alignment horizontal="right"/>
      <protection locked="0"/>
    </xf>
    <xf numFmtId="0" fontId="17" fillId="2" borderId="1" xfId="15" applyFont="1" applyFill="1" applyBorder="1" applyAlignment="1" applyProtection="1">
      <alignment horizontal="center" vertical="center" wrapText="1"/>
    </xf>
    <xf numFmtId="2" fontId="18" fillId="2" borderId="1" xfId="15" applyNumberFormat="1" applyFont="1" applyFill="1" applyBorder="1" applyAlignment="1" applyProtection="1">
      <alignment horizontal="right"/>
      <protection locked="0"/>
    </xf>
    <xf numFmtId="0" fontId="11" fillId="2" borderId="1" xfId="15" applyFont="1" applyFill="1" applyBorder="1" applyAlignment="1" applyProtection="1">
      <alignment horizontal="left" vertical="center" wrapText="1"/>
    </xf>
    <xf numFmtId="0" fontId="19" fillId="2" borderId="1" xfId="15" applyFont="1" applyFill="1" applyBorder="1"/>
    <xf numFmtId="0" fontId="20" fillId="2" borderId="1" xfId="15" applyFont="1" applyFill="1" applyBorder="1" applyAlignment="1" applyProtection="1">
      <alignment horizontal="left" vertical="center" wrapText="1"/>
    </xf>
    <xf numFmtId="0" fontId="9" fillId="2" borderId="0" xfId="15" applyFont="1" applyFill="1" applyProtection="1"/>
    <xf numFmtId="0" fontId="21" fillId="2" borderId="3" xfId="15" applyFont="1" applyFill="1" applyBorder="1" applyProtection="1"/>
    <xf numFmtId="0" fontId="9" fillId="2" borderId="4" xfId="15" applyFont="1" applyFill="1" applyBorder="1" applyProtection="1"/>
    <xf numFmtId="0" fontId="9" fillId="2" borderId="5" xfId="15" applyFont="1" applyFill="1" applyBorder="1" applyProtection="1"/>
    <xf numFmtId="0" fontId="22" fillId="2" borderId="1" xfId="15" applyFont="1" applyFill="1" applyBorder="1" applyAlignment="1" applyProtection="1">
      <alignment horizontal="left" vertical="center" wrapText="1"/>
    </xf>
    <xf numFmtId="0" fontId="20" fillId="2" borderId="1" xfId="15" applyFont="1" applyFill="1" applyBorder="1" applyAlignment="1" applyProtection="1">
      <alignment horizontal="left" vertical="center" wrapText="1" indent="1"/>
    </xf>
    <xf numFmtId="0" fontId="13" fillId="2" borderId="1" xfId="15" applyFont="1" applyFill="1" applyBorder="1" applyAlignment="1">
      <alignment horizontal="center" vertical="top" wrapText="1"/>
    </xf>
    <xf numFmtId="2" fontId="9" fillId="2" borderId="1" xfId="15" applyNumberFormat="1" applyFont="1" applyFill="1" applyBorder="1" applyProtection="1"/>
    <xf numFmtId="0" fontId="20" fillId="2" borderId="1" xfId="15" applyFont="1" applyFill="1" applyBorder="1" applyAlignment="1" applyProtection="1">
      <alignment horizontal="left" vertical="center" wrapText="1" indent="2"/>
    </xf>
    <xf numFmtId="0" fontId="12" fillId="2" borderId="1" xfId="15" applyFont="1" applyFill="1" applyBorder="1" applyAlignment="1" applyProtection="1">
      <alignment horizontal="center" vertical="center" wrapText="1"/>
    </xf>
    <xf numFmtId="2" fontId="3" fillId="2" borderId="1" xfId="15" applyNumberFormat="1" applyFont="1" applyFill="1" applyBorder="1" applyAlignment="1" applyProtection="1">
      <alignment horizontal="right"/>
      <protection locked="0"/>
    </xf>
    <xf numFmtId="0" fontId="13" fillId="2" borderId="1" xfId="15" applyFont="1" applyFill="1" applyBorder="1" applyAlignment="1" applyProtection="1">
      <alignment horizontal="left" vertical="center" wrapText="1" indent="2"/>
    </xf>
    <xf numFmtId="166" fontId="9" fillId="0" borderId="0" xfId="15" applyNumberFormat="1" applyFont="1" applyFill="1" applyProtection="1"/>
    <xf numFmtId="2" fontId="18" fillId="2" borderId="1" xfId="15" applyNumberFormat="1" applyFont="1" applyFill="1" applyBorder="1" applyAlignment="1" applyProtection="1">
      <protection locked="0"/>
    </xf>
    <xf numFmtId="0" fontId="23" fillId="2" borderId="8" xfId="15" applyFont="1" applyFill="1" applyBorder="1" applyAlignment="1">
      <alignment vertical="top"/>
    </xf>
    <xf numFmtId="3" fontId="25" fillId="5" borderId="0" xfId="15" applyNumberFormat="1" applyFont="1" applyFill="1" applyBorder="1" applyAlignment="1">
      <alignment horizontal="right" wrapText="1"/>
    </xf>
    <xf numFmtId="0" fontId="9" fillId="2" borderId="1" xfId="15" applyFont="1" applyFill="1" applyBorder="1" applyProtection="1"/>
    <xf numFmtId="0" fontId="27" fillId="2" borderId="1" xfId="15" applyFont="1" applyFill="1" applyBorder="1" applyAlignment="1" applyProtection="1">
      <alignment horizontal="left" wrapText="1" indent="1"/>
    </xf>
    <xf numFmtId="0" fontId="26" fillId="2" borderId="1" xfId="15" applyFont="1" applyFill="1" applyBorder="1" applyAlignment="1" applyProtection="1">
      <alignment horizontal="center"/>
    </xf>
    <xf numFmtId="0" fontId="28" fillId="2" borderId="1" xfId="15" applyFont="1" applyFill="1" applyBorder="1" applyProtection="1"/>
    <xf numFmtId="0" fontId="29" fillId="2" borderId="1" xfId="15" applyFont="1" applyFill="1" applyBorder="1" applyAlignment="1" applyProtection="1">
      <alignment horizontal="left" vertical="center" wrapText="1" indent="1"/>
    </xf>
    <xf numFmtId="0" fontId="8" fillId="2" borderId="1" xfId="15" applyFont="1" applyFill="1" applyBorder="1" applyAlignment="1" applyProtection="1">
      <alignment horizontal="left" vertical="center" wrapText="1"/>
    </xf>
    <xf numFmtId="0" fontId="30" fillId="2" borderId="1" xfId="15" applyFont="1" applyFill="1" applyBorder="1" applyAlignment="1" applyProtection="1">
      <alignment horizontal="center" vertical="center" wrapText="1"/>
    </xf>
    <xf numFmtId="2" fontId="15" fillId="2" borderId="1" xfId="15" applyNumberFormat="1" applyFont="1" applyFill="1" applyBorder="1" applyAlignment="1" applyProtection="1">
      <alignment horizontal="right" vertical="center"/>
      <protection locked="0"/>
    </xf>
    <xf numFmtId="0" fontId="13" fillId="2" borderId="1" xfId="15" applyFont="1" applyFill="1" applyBorder="1" applyAlignment="1" applyProtection="1">
      <alignment horizontal="center" vertical="top" wrapText="1"/>
      <protection locked="0"/>
    </xf>
    <xf numFmtId="0" fontId="10" fillId="2" borderId="1" xfId="15" applyFont="1" applyFill="1" applyBorder="1" applyAlignment="1" applyProtection="1">
      <alignment horizontal="left" vertical="center" wrapText="1" indent="1"/>
    </xf>
    <xf numFmtId="0" fontId="31" fillId="2" borderId="1" xfId="15" applyFont="1" applyFill="1" applyBorder="1" applyAlignment="1" applyProtection="1">
      <alignment horizontal="center" vertical="center" wrapText="1"/>
    </xf>
    <xf numFmtId="0" fontId="31" fillId="2" borderId="1" xfId="15" applyFont="1" applyFill="1" applyBorder="1" applyAlignment="1" applyProtection="1">
      <alignment horizontal="left" vertical="center" wrapText="1" indent="1"/>
    </xf>
    <xf numFmtId="0" fontId="31" fillId="2" borderId="1" xfId="15" applyFont="1" applyFill="1" applyBorder="1" applyAlignment="1" applyProtection="1">
      <alignment horizontal="left" vertical="center" wrapText="1" indent="2"/>
    </xf>
    <xf numFmtId="0" fontId="32" fillId="0" borderId="0" xfId="15" applyFont="1" applyAlignment="1">
      <alignment horizontal="justify"/>
    </xf>
    <xf numFmtId="1" fontId="14" fillId="2" borderId="1" xfId="15" applyNumberFormat="1" applyFont="1" applyFill="1" applyBorder="1" applyAlignment="1" applyProtection="1">
      <alignment horizontal="right"/>
      <protection locked="0"/>
    </xf>
    <xf numFmtId="0" fontId="31" fillId="2" borderId="1" xfId="15" applyFont="1" applyFill="1" applyBorder="1" applyAlignment="1" applyProtection="1">
      <alignment horizontal="left" vertical="center" wrapText="1" indent="3"/>
    </xf>
    <xf numFmtId="0" fontId="13" fillId="2" borderId="1" xfId="15" applyFont="1" applyFill="1" applyBorder="1" applyAlignment="1" applyProtection="1">
      <alignment horizontal="left" vertical="top" wrapText="1" indent="1"/>
    </xf>
    <xf numFmtId="0" fontId="13" fillId="2" borderId="1" xfId="15" applyFont="1" applyFill="1" applyBorder="1" applyAlignment="1" applyProtection="1">
      <alignment horizontal="center" vertical="top" wrapText="1"/>
    </xf>
    <xf numFmtId="0" fontId="13" fillId="2" borderId="1" xfId="15" applyFont="1" applyFill="1" applyBorder="1" applyAlignment="1" applyProtection="1">
      <alignment horizontal="left" vertical="center" wrapText="1" indent="3"/>
    </xf>
    <xf numFmtId="2" fontId="9" fillId="0" borderId="0" xfId="15" applyNumberFormat="1" applyFont="1" applyFill="1" applyProtection="1"/>
    <xf numFmtId="0" fontId="13" fillId="2" borderId="1" xfId="15" applyFont="1" applyFill="1" applyBorder="1" applyAlignment="1" applyProtection="1">
      <alignment horizontal="left" vertical="center" wrapText="1" indent="4"/>
    </xf>
    <xf numFmtId="0" fontId="13" fillId="2" borderId="1" xfId="15" applyFont="1" applyFill="1" applyBorder="1" applyAlignment="1" applyProtection="1">
      <alignment horizontal="left" vertical="center" wrapText="1" indent="5"/>
    </xf>
    <xf numFmtId="0" fontId="33" fillId="2" borderId="9" xfId="15" applyFont="1" applyFill="1" applyBorder="1" applyAlignment="1">
      <alignment horizontal="center" vertical="center" wrapText="1"/>
    </xf>
    <xf numFmtId="0" fontId="34" fillId="2" borderId="1" xfId="15" applyFont="1" applyFill="1" applyBorder="1" applyAlignment="1" applyProtection="1">
      <alignment horizontal="left" vertical="center" wrapText="1" indent="1"/>
    </xf>
    <xf numFmtId="0" fontId="27" fillId="2" borderId="1" xfId="15" applyFont="1" applyFill="1" applyBorder="1" applyAlignment="1" applyProtection="1">
      <alignment horizontal="left" vertical="center" wrapText="1" indent="1"/>
    </xf>
    <xf numFmtId="166" fontId="16" fillId="2" borderId="1" xfId="15" applyNumberFormat="1" applyFont="1" applyFill="1" applyBorder="1" applyAlignment="1" applyProtection="1">
      <alignment horizontal="right"/>
      <protection locked="0"/>
    </xf>
    <xf numFmtId="166" fontId="9" fillId="2" borderId="1" xfId="15" applyNumberFormat="1" applyFont="1" applyFill="1" applyBorder="1" applyProtection="1"/>
    <xf numFmtId="0" fontId="28" fillId="2" borderId="1" xfId="15" applyFont="1" applyFill="1" applyBorder="1"/>
    <xf numFmtId="0" fontId="7" fillId="8" borderId="0" xfId="15" applyFill="1"/>
    <xf numFmtId="0" fontId="35" fillId="8" borderId="0" xfId="15" applyFont="1" applyFill="1"/>
    <xf numFmtId="0" fontId="35" fillId="0" borderId="0" xfId="15" applyFont="1"/>
    <xf numFmtId="0" fontId="26" fillId="2" borderId="1" xfId="15" applyFont="1" applyFill="1" applyBorder="1" applyAlignment="1" applyProtection="1">
      <alignment horizontal="left" vertical="center" wrapText="1" indent="1"/>
    </xf>
    <xf numFmtId="0" fontId="36" fillId="2" borderId="1" xfId="15" applyFont="1" applyFill="1" applyBorder="1" applyAlignment="1" applyProtection="1">
      <alignment horizontal="center" vertical="center" wrapText="1"/>
    </xf>
    <xf numFmtId="2" fontId="14" fillId="2" borderId="1" xfId="15" applyNumberFormat="1" applyFont="1" applyFill="1" applyBorder="1" applyAlignment="1" applyProtection="1">
      <alignment horizontal="center"/>
      <protection locked="0"/>
    </xf>
    <xf numFmtId="0" fontId="27" fillId="2" borderId="1" xfId="15" applyFont="1" applyFill="1" applyBorder="1" applyAlignment="1" applyProtection="1">
      <alignment horizontal="left" vertical="center" wrapText="1" indent="2"/>
    </xf>
    <xf numFmtId="166" fontId="14" fillId="2" borderId="1" xfId="15" applyNumberFormat="1" applyFont="1" applyFill="1" applyBorder="1" applyAlignment="1" applyProtection="1">
      <alignment horizontal="right"/>
      <protection locked="0"/>
    </xf>
    <xf numFmtId="1" fontId="9" fillId="2" borderId="1" xfId="15" applyNumberFormat="1" applyFont="1" applyFill="1" applyBorder="1" applyProtection="1"/>
    <xf numFmtId="0" fontId="38" fillId="2" borderId="1" xfId="15" applyFont="1" applyFill="1" applyBorder="1" applyAlignment="1">
      <alignment horizontal="left" vertical="center" wrapText="1"/>
    </xf>
    <xf numFmtId="0" fontId="38" fillId="2" borderId="1" xfId="15" applyFont="1" applyFill="1" applyBorder="1" applyAlignment="1">
      <alignment horizontal="center" vertical="center" wrapText="1"/>
    </xf>
    <xf numFmtId="49" fontId="15" fillId="2" borderId="0" xfId="15" applyNumberFormat="1" applyFont="1" applyFill="1" applyAlignment="1" applyProtection="1">
      <alignment horizontal="center" vertical="center"/>
    </xf>
    <xf numFmtId="49" fontId="15" fillId="2" borderId="0" xfId="15" applyNumberFormat="1" applyFont="1" applyFill="1" applyAlignment="1" applyProtection="1">
      <alignment horizontal="center"/>
    </xf>
    <xf numFmtId="49" fontId="15" fillId="2" borderId="0" xfId="15" applyNumberFormat="1" applyFont="1" applyFill="1" applyAlignment="1" applyProtection="1">
      <alignment horizontal="right"/>
    </xf>
    <xf numFmtId="167" fontId="15" fillId="2" borderId="0" xfId="15" applyNumberFormat="1" applyFont="1" applyFill="1" applyProtection="1"/>
    <xf numFmtId="1" fontId="16" fillId="2" borderId="1" xfId="15" applyNumberFormat="1" applyFont="1" applyFill="1" applyBorder="1" applyAlignment="1" applyProtection="1">
      <alignment horizontal="right"/>
      <protection locked="0"/>
    </xf>
    <xf numFmtId="2" fontId="39" fillId="2" borderId="1" xfId="15" applyNumberFormat="1" applyFont="1" applyFill="1" applyBorder="1" applyAlignment="1" applyProtection="1">
      <alignment horizontal="right"/>
      <protection locked="0"/>
    </xf>
    <xf numFmtId="0" fontId="40" fillId="0" borderId="0" xfId="15" applyFont="1" applyAlignment="1">
      <alignment horizontal="justify"/>
    </xf>
    <xf numFmtId="0" fontId="15" fillId="0" borderId="0" xfId="15" applyFont="1" applyFill="1" applyProtection="1"/>
    <xf numFmtId="49" fontId="15" fillId="0" borderId="0" xfId="15" applyNumberFormat="1" applyFont="1" applyFill="1" applyAlignment="1" applyProtection="1">
      <alignment horizontal="center" vertical="center"/>
    </xf>
    <xf numFmtId="49" fontId="15" fillId="0" borderId="0" xfId="15" applyNumberFormat="1" applyFont="1" applyFill="1" applyAlignment="1" applyProtection="1">
      <alignment horizontal="center"/>
    </xf>
    <xf numFmtId="49" fontId="15" fillId="0" borderId="0" xfId="15" applyNumberFormat="1" applyFont="1" applyFill="1" applyAlignment="1" applyProtection="1">
      <alignment horizontal="right"/>
    </xf>
    <xf numFmtId="167" fontId="15" fillId="0" borderId="0" xfId="15" applyNumberFormat="1" applyFont="1" applyFill="1" applyProtection="1"/>
    <xf numFmtId="0" fontId="42" fillId="0" borderId="0" xfId="15" applyFont="1" applyAlignment="1">
      <alignment horizontal="justify"/>
    </xf>
    <xf numFmtId="0" fontId="43" fillId="0" borderId="0" xfId="15" applyFont="1"/>
    <xf numFmtId="2" fontId="4" fillId="0" borderId="10" xfId="15" applyNumberFormat="1" applyFont="1" applyFill="1" applyBorder="1" applyAlignment="1" applyProtection="1">
      <alignment horizontal="right"/>
      <protection locked="0"/>
    </xf>
    <xf numFmtId="49" fontId="9" fillId="0" borderId="0" xfId="15" applyNumberFormat="1" applyFont="1" applyFill="1" applyAlignment="1" applyProtection="1">
      <alignment horizontal="center" vertical="center"/>
    </xf>
    <xf numFmtId="49" fontId="9" fillId="0" borderId="0" xfId="15" applyNumberFormat="1" applyFont="1" applyFill="1" applyAlignment="1" applyProtection="1">
      <alignment horizontal="center"/>
    </xf>
    <xf numFmtId="49" fontId="9" fillId="0" borderId="0" xfId="15" applyNumberFormat="1" applyFont="1" applyFill="1" applyAlignment="1" applyProtection="1">
      <alignment horizontal="right"/>
    </xf>
    <xf numFmtId="0" fontId="9" fillId="0" borderId="0" xfId="18" applyFont="1" applyFill="1" applyProtection="1"/>
    <xf numFmtId="49" fontId="10" fillId="0" borderId="1" xfId="18" applyNumberFormat="1" applyFont="1" applyFill="1" applyBorder="1" applyAlignment="1" applyProtection="1">
      <alignment horizontal="centerContinuous" vertical="center"/>
    </xf>
    <xf numFmtId="49" fontId="10" fillId="0" borderId="1" xfId="18" applyNumberFormat="1" applyFont="1" applyFill="1" applyBorder="1" applyAlignment="1" applyProtection="1">
      <alignment horizontal="centerContinuous" vertical="center" wrapText="1"/>
    </xf>
    <xf numFmtId="49" fontId="10" fillId="0" borderId="1" xfId="18" applyNumberFormat="1" applyFont="1" applyFill="1" applyBorder="1" applyAlignment="1" applyProtection="1">
      <alignment horizontal="center" vertical="center" wrapText="1"/>
    </xf>
    <xf numFmtId="0" fontId="10" fillId="0" borderId="1" xfId="18" applyFont="1" applyBorder="1" applyAlignment="1" applyProtection="1">
      <alignment horizontal="centerContinuous" vertical="center" wrapText="1"/>
    </xf>
    <xf numFmtId="0" fontId="10" fillId="0" borderId="1" xfId="18" applyFont="1" applyBorder="1" applyAlignment="1" applyProtection="1">
      <alignment horizontal="center" vertical="center" wrapText="1"/>
    </xf>
    <xf numFmtId="0" fontId="10" fillId="0" borderId="1" xfId="18" applyFont="1" applyFill="1" applyBorder="1" applyAlignment="1" applyProtection="1">
      <alignment horizontal="centerContinuous" vertical="center"/>
    </xf>
    <xf numFmtId="0" fontId="10" fillId="0" borderId="1" xfId="18" applyFont="1" applyFill="1" applyBorder="1" applyAlignment="1" applyProtection="1">
      <alignment horizontal="centerContinuous"/>
    </xf>
    <xf numFmtId="0" fontId="10" fillId="0" borderId="1" xfId="18" applyFont="1" applyFill="1" applyBorder="1" applyAlignment="1" applyProtection="1">
      <alignment horizontal="right"/>
    </xf>
    <xf numFmtId="0" fontId="11" fillId="3" borderId="1" xfId="18" applyFont="1" applyFill="1" applyBorder="1" applyAlignment="1" applyProtection="1">
      <alignment horizontal="left" vertical="center" wrapText="1"/>
    </xf>
    <xf numFmtId="0" fontId="12" fillId="3" borderId="1" xfId="18" applyFont="1" applyFill="1" applyBorder="1" applyAlignment="1" applyProtection="1">
      <alignment horizontal="center" vertical="center" wrapText="1"/>
    </xf>
    <xf numFmtId="2" fontId="13" fillId="0" borderId="1" xfId="18" applyNumberFormat="1" applyFont="1" applyFill="1" applyBorder="1" applyAlignment="1" applyProtection="1">
      <alignment horizontal="center" vertical="center"/>
      <protection locked="0"/>
    </xf>
    <xf numFmtId="2" fontId="13" fillId="0" borderId="1" xfId="18" applyNumberFormat="1" applyFont="1" applyFill="1" applyBorder="1" applyAlignment="1" applyProtection="1">
      <alignment horizontal="center" vertical="top" wrapText="1"/>
      <protection locked="0"/>
    </xf>
    <xf numFmtId="0" fontId="9" fillId="0" borderId="1" xfId="18" applyFont="1" applyFill="1" applyBorder="1" applyProtection="1"/>
    <xf numFmtId="2" fontId="14" fillId="0" borderId="1" xfId="18" applyNumberFormat="1" applyFont="1" applyFill="1" applyBorder="1" applyAlignment="1" applyProtection="1">
      <alignment horizontal="right"/>
      <protection locked="0"/>
    </xf>
    <xf numFmtId="0" fontId="13" fillId="2" borderId="1" xfId="18" applyFont="1" applyFill="1" applyBorder="1" applyAlignment="1" applyProtection="1">
      <alignment horizontal="left" vertical="center" wrapText="1" indent="1"/>
    </xf>
    <xf numFmtId="0" fontId="13" fillId="2" borderId="1" xfId="18" applyFont="1" applyFill="1" applyBorder="1" applyAlignment="1" applyProtection="1">
      <alignment horizontal="center" vertical="center" wrapText="1"/>
    </xf>
    <xf numFmtId="2" fontId="15" fillId="2" borderId="1" xfId="18" applyNumberFormat="1" applyFont="1" applyFill="1" applyBorder="1" applyAlignment="1" applyProtection="1">
      <alignment horizontal="right" vertical="center"/>
    </xf>
    <xf numFmtId="2" fontId="13" fillId="2" borderId="1" xfId="18" applyNumberFormat="1" applyFont="1" applyFill="1" applyBorder="1" applyAlignment="1" applyProtection="1">
      <alignment horizontal="center" vertical="top" wrapText="1"/>
      <protection locked="0"/>
    </xf>
    <xf numFmtId="2" fontId="14" fillId="2" borderId="1" xfId="18" applyNumberFormat="1" applyFont="1" applyFill="1" applyBorder="1" applyAlignment="1" applyProtection="1">
      <alignment horizontal="right"/>
      <protection locked="0"/>
    </xf>
    <xf numFmtId="2" fontId="16" fillId="4" borderId="1" xfId="18" applyNumberFormat="1" applyFont="1" applyFill="1" applyBorder="1" applyAlignment="1" applyProtection="1">
      <alignment horizontal="right"/>
      <protection locked="0"/>
    </xf>
    <xf numFmtId="2" fontId="16" fillId="2" borderId="1" xfId="18" applyNumberFormat="1" applyFont="1" applyFill="1" applyBorder="1" applyAlignment="1" applyProtection="1">
      <alignment horizontal="right"/>
      <protection locked="0"/>
    </xf>
    <xf numFmtId="0" fontId="17" fillId="2" borderId="1" xfId="18" applyFont="1" applyFill="1" applyBorder="1" applyAlignment="1" applyProtection="1">
      <alignment horizontal="center" vertical="center" wrapText="1"/>
    </xf>
    <xf numFmtId="2" fontId="18" fillId="2" borderId="1" xfId="18" applyNumberFormat="1" applyFont="1" applyFill="1" applyBorder="1" applyAlignment="1" applyProtection="1">
      <alignment horizontal="right"/>
      <protection locked="0"/>
    </xf>
    <xf numFmtId="0" fontId="11" fillId="2" borderId="1" xfId="18" applyFont="1" applyFill="1" applyBorder="1" applyAlignment="1" applyProtection="1">
      <alignment horizontal="left" vertical="center" wrapText="1"/>
    </xf>
    <xf numFmtId="0" fontId="19" fillId="2" borderId="1" xfId="18" applyFont="1" applyFill="1" applyBorder="1"/>
    <xf numFmtId="0" fontId="20" fillId="2" borderId="1" xfId="18" applyFont="1" applyFill="1" applyBorder="1" applyAlignment="1" applyProtection="1">
      <alignment horizontal="left" vertical="center" wrapText="1"/>
    </xf>
    <xf numFmtId="0" fontId="9" fillId="2" borderId="0" xfId="18" applyFont="1" applyFill="1" applyProtection="1"/>
    <xf numFmtId="0" fontId="21" fillId="2" borderId="3" xfId="18" applyFont="1" applyFill="1" applyBorder="1" applyProtection="1"/>
    <xf numFmtId="0" fontId="9" fillId="2" borderId="4" xfId="18" applyFont="1" applyFill="1" applyBorder="1" applyProtection="1"/>
    <xf numFmtId="0" fontId="9" fillId="2" borderId="5" xfId="18" applyFont="1" applyFill="1" applyBorder="1" applyProtection="1"/>
    <xf numFmtId="0" fontId="22" fillId="2" borderId="1" xfId="18" applyFont="1" applyFill="1" applyBorder="1" applyAlignment="1" applyProtection="1">
      <alignment horizontal="left" vertical="center" wrapText="1"/>
    </xf>
    <xf numFmtId="0" fontId="20" fillId="2" borderId="1" xfId="18" applyFont="1" applyFill="1" applyBorder="1" applyAlignment="1" applyProtection="1">
      <alignment horizontal="left" vertical="center" wrapText="1" indent="1"/>
    </xf>
    <xf numFmtId="0" fontId="13" fillId="2" borderId="1" xfId="18" applyFont="1" applyFill="1" applyBorder="1" applyAlignment="1">
      <alignment horizontal="center" vertical="top" wrapText="1"/>
    </xf>
    <xf numFmtId="2" fontId="9" fillId="2" borderId="1" xfId="18" applyNumberFormat="1" applyFont="1" applyFill="1" applyBorder="1" applyProtection="1"/>
    <xf numFmtId="0" fontId="20" fillId="2" borderId="1" xfId="18" applyFont="1" applyFill="1" applyBorder="1" applyAlignment="1" applyProtection="1">
      <alignment horizontal="left" vertical="center" wrapText="1" indent="2"/>
    </xf>
    <xf numFmtId="0" fontId="12" fillId="2" borderId="1" xfId="18" applyFont="1" applyFill="1" applyBorder="1" applyAlignment="1" applyProtection="1">
      <alignment horizontal="center" vertical="center" wrapText="1"/>
    </xf>
    <xf numFmtId="2" fontId="3" fillId="2" borderId="1" xfId="18" applyNumberFormat="1" applyFont="1" applyFill="1" applyBorder="1" applyAlignment="1" applyProtection="1">
      <alignment horizontal="right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166" fontId="9" fillId="0" borderId="0" xfId="18" applyNumberFormat="1" applyFont="1" applyFill="1" applyProtection="1"/>
    <xf numFmtId="2" fontId="18" fillId="2" borderId="1" xfId="18" applyNumberFormat="1" applyFont="1" applyFill="1" applyBorder="1" applyAlignment="1" applyProtection="1">
      <protection locked="0"/>
    </xf>
    <xf numFmtId="2" fontId="18" fillId="9" borderId="1" xfId="18" applyNumberFormat="1" applyFont="1" applyFill="1" applyBorder="1" applyAlignment="1" applyProtection="1">
      <protection locked="0"/>
    </xf>
    <xf numFmtId="0" fontId="23" fillId="2" borderId="8" xfId="18" applyFont="1" applyFill="1" applyBorder="1" applyAlignment="1">
      <alignment vertical="top"/>
    </xf>
    <xf numFmtId="0" fontId="24" fillId="2" borderId="1" xfId="18" applyFont="1" applyFill="1" applyBorder="1" applyAlignment="1">
      <alignment horizontal="center" vertical="top"/>
    </xf>
    <xf numFmtId="3" fontId="25" fillId="5" borderId="0" xfId="18" applyNumberFormat="1" applyFont="1" applyFill="1" applyBorder="1" applyAlignment="1">
      <alignment horizontal="right" wrapText="1"/>
    </xf>
    <xf numFmtId="0" fontId="26" fillId="2" borderId="1" xfId="18" applyFont="1" applyFill="1" applyBorder="1" applyAlignment="1" applyProtection="1">
      <alignment horizontal="left" vertical="center" wrapText="1" indent="3"/>
    </xf>
    <xf numFmtId="2" fontId="16" fillId="4" borderId="7" xfId="18" applyNumberFormat="1" applyFont="1" applyFill="1" applyBorder="1" applyAlignment="1" applyProtection="1">
      <alignment horizontal="right"/>
      <protection locked="0"/>
    </xf>
    <xf numFmtId="2" fontId="16" fillId="2" borderId="7" xfId="18" applyNumberFormat="1" applyFont="1" applyFill="1" applyBorder="1" applyAlignment="1" applyProtection="1">
      <alignment horizontal="right"/>
      <protection locked="0"/>
    </xf>
    <xf numFmtId="0" fontId="9" fillId="2" borderId="1" xfId="18" applyFont="1" applyFill="1" applyBorder="1" applyProtection="1"/>
    <xf numFmtId="2" fontId="16" fillId="6" borderId="1" xfId="18" applyNumberFormat="1" applyFont="1" applyFill="1" applyBorder="1" applyAlignment="1" applyProtection="1">
      <alignment horizontal="right"/>
      <protection locked="0"/>
    </xf>
    <xf numFmtId="0" fontId="27" fillId="2" borderId="1" xfId="18" applyFont="1" applyFill="1" applyBorder="1" applyAlignment="1" applyProtection="1">
      <alignment horizontal="left" wrapText="1" indent="1"/>
    </xf>
    <xf numFmtId="0" fontId="26" fillId="2" borderId="1" xfId="18" applyFont="1" applyFill="1" applyBorder="1" applyAlignment="1" applyProtection="1">
      <alignment horizontal="center"/>
    </xf>
    <xf numFmtId="0" fontId="28" fillId="2" borderId="1" xfId="18" applyFont="1" applyFill="1" applyBorder="1" applyProtection="1"/>
    <xf numFmtId="0" fontId="29" fillId="2" borderId="1" xfId="18" applyFont="1" applyFill="1" applyBorder="1" applyAlignment="1" applyProtection="1">
      <alignment horizontal="left" vertical="center" wrapText="1" indent="1"/>
    </xf>
    <xf numFmtId="0" fontId="8" fillId="2" borderId="1" xfId="18" applyFont="1" applyFill="1" applyBorder="1" applyAlignment="1" applyProtection="1">
      <alignment horizontal="left" vertical="center" wrapText="1"/>
    </xf>
    <xf numFmtId="0" fontId="30" fillId="2" borderId="1" xfId="18" applyFont="1" applyFill="1" applyBorder="1" applyAlignment="1" applyProtection="1">
      <alignment horizontal="center" vertical="center" wrapText="1"/>
    </xf>
    <xf numFmtId="2" fontId="15" fillId="2" borderId="1" xfId="18" applyNumberFormat="1" applyFont="1" applyFill="1" applyBorder="1" applyAlignment="1" applyProtection="1">
      <alignment horizontal="right" vertical="center"/>
      <protection locked="0"/>
    </xf>
    <xf numFmtId="0" fontId="13" fillId="2" borderId="1" xfId="18" applyFont="1" applyFill="1" applyBorder="1" applyAlignment="1" applyProtection="1">
      <alignment horizontal="center" vertical="top" wrapText="1"/>
      <protection locked="0"/>
    </xf>
    <xf numFmtId="0" fontId="10" fillId="2" borderId="1" xfId="18" applyFont="1" applyFill="1" applyBorder="1" applyAlignment="1" applyProtection="1">
      <alignment horizontal="left" vertical="center" wrapText="1" indent="1"/>
    </xf>
    <xf numFmtId="0" fontId="31" fillId="2" borderId="1" xfId="18" applyFont="1" applyFill="1" applyBorder="1" applyAlignment="1" applyProtection="1">
      <alignment horizontal="center" vertical="center" wrapText="1"/>
    </xf>
    <xf numFmtId="0" fontId="31" fillId="2" borderId="1" xfId="18" applyFont="1" applyFill="1" applyBorder="1" applyAlignment="1" applyProtection="1">
      <alignment horizontal="left" vertical="center" wrapText="1" indent="1"/>
    </xf>
    <xf numFmtId="0" fontId="31" fillId="2" borderId="1" xfId="18" applyFont="1" applyFill="1" applyBorder="1" applyAlignment="1" applyProtection="1">
      <alignment horizontal="left" vertical="center" wrapText="1" indent="2"/>
    </xf>
    <xf numFmtId="0" fontId="32" fillId="0" borderId="0" xfId="18" applyFont="1" applyAlignment="1">
      <alignment horizontal="justify"/>
    </xf>
    <xf numFmtId="1" fontId="14" fillId="2" borderId="1" xfId="18" applyNumberFormat="1" applyFont="1" applyFill="1" applyBorder="1" applyAlignment="1" applyProtection="1">
      <alignment horizontal="right"/>
      <protection locked="0"/>
    </xf>
    <xf numFmtId="2" fontId="16" fillId="7" borderId="1" xfId="18" applyNumberFormat="1" applyFont="1" applyFill="1" applyBorder="1" applyAlignment="1" applyProtection="1">
      <alignment horizontal="right"/>
      <protection locked="0"/>
    </xf>
    <xf numFmtId="0" fontId="31" fillId="2" borderId="1" xfId="18" applyFont="1" applyFill="1" applyBorder="1" applyAlignment="1" applyProtection="1">
      <alignment horizontal="left" vertical="center" wrapText="1" indent="3"/>
    </xf>
    <xf numFmtId="0" fontId="13" fillId="2" borderId="1" xfId="18" applyFont="1" applyFill="1" applyBorder="1" applyAlignment="1" applyProtection="1">
      <alignment horizontal="left" vertical="top" wrapText="1" indent="1"/>
    </xf>
    <xf numFmtId="0" fontId="13" fillId="2" borderId="1" xfId="18" applyFont="1" applyFill="1" applyBorder="1" applyAlignment="1" applyProtection="1">
      <alignment horizontal="center" vertical="top" wrapText="1"/>
    </xf>
    <xf numFmtId="0" fontId="13" fillId="2" borderId="1" xfId="18" applyFont="1" applyFill="1" applyBorder="1" applyAlignment="1" applyProtection="1">
      <alignment horizontal="left" vertical="center" wrapText="1" indent="3"/>
    </xf>
    <xf numFmtId="2" fontId="9" fillId="0" borderId="0" xfId="18" applyNumberFormat="1" applyFont="1" applyFill="1" applyProtection="1"/>
    <xf numFmtId="0" fontId="13" fillId="2" borderId="1" xfId="18" applyFont="1" applyFill="1" applyBorder="1" applyAlignment="1" applyProtection="1">
      <alignment horizontal="left" vertical="center" wrapText="1" indent="4"/>
    </xf>
    <xf numFmtId="0" fontId="13" fillId="2" borderId="1" xfId="18" applyFont="1" applyFill="1" applyBorder="1" applyAlignment="1" applyProtection="1">
      <alignment horizontal="left" vertical="center" wrapText="1" indent="5"/>
    </xf>
    <xf numFmtId="0" fontId="33" fillId="2" borderId="9" xfId="18" applyFont="1" applyFill="1" applyBorder="1" applyAlignment="1">
      <alignment horizontal="center" vertical="center" wrapText="1"/>
    </xf>
    <xf numFmtId="0" fontId="34" fillId="2" borderId="1" xfId="18" applyFont="1" applyFill="1" applyBorder="1" applyAlignment="1" applyProtection="1">
      <alignment horizontal="left" vertical="center" wrapText="1" indent="1"/>
    </xf>
    <xf numFmtId="0" fontId="27" fillId="2" borderId="1" xfId="18" applyFont="1" applyFill="1" applyBorder="1" applyAlignment="1" applyProtection="1">
      <alignment horizontal="left" vertical="center" wrapText="1" indent="1"/>
    </xf>
    <xf numFmtId="166" fontId="16" fillId="2" borderId="1" xfId="18" applyNumberFormat="1" applyFont="1" applyFill="1" applyBorder="1" applyAlignment="1" applyProtection="1">
      <alignment horizontal="right"/>
      <protection locked="0"/>
    </xf>
    <xf numFmtId="166" fontId="16" fillId="4" borderId="1" xfId="18" applyNumberFormat="1" applyFont="1" applyFill="1" applyBorder="1" applyAlignment="1" applyProtection="1">
      <alignment horizontal="right"/>
      <protection locked="0"/>
    </xf>
    <xf numFmtId="166" fontId="16" fillId="6" borderId="1" xfId="18" applyNumberFormat="1" applyFont="1" applyFill="1" applyBorder="1" applyAlignment="1" applyProtection="1">
      <alignment horizontal="right"/>
      <protection locked="0"/>
    </xf>
    <xf numFmtId="166" fontId="16" fillId="7" borderId="1" xfId="18" applyNumberFormat="1" applyFont="1" applyFill="1" applyBorder="1" applyAlignment="1" applyProtection="1">
      <alignment horizontal="right"/>
      <protection locked="0"/>
    </xf>
    <xf numFmtId="166" fontId="9" fillId="2" borderId="1" xfId="18" applyNumberFormat="1" applyFont="1" applyFill="1" applyBorder="1" applyProtection="1"/>
    <xf numFmtId="0" fontId="28" fillId="2" borderId="1" xfId="18" applyFont="1" applyFill="1" applyBorder="1"/>
    <xf numFmtId="0" fontId="5" fillId="8" borderId="0" xfId="18" applyFill="1"/>
    <xf numFmtId="0" fontId="35" fillId="8" borderId="0" xfId="18" applyFont="1" applyFill="1"/>
    <xf numFmtId="0" fontId="35" fillId="0" borderId="0" xfId="18" applyFont="1"/>
    <xf numFmtId="0" fontId="26" fillId="2" borderId="1" xfId="18" applyFont="1" applyFill="1" applyBorder="1" applyAlignment="1" applyProtection="1">
      <alignment horizontal="left" vertical="center" wrapText="1" indent="1"/>
    </xf>
    <xf numFmtId="0" fontId="36" fillId="2" borderId="1" xfId="18" applyFont="1" applyFill="1" applyBorder="1" applyAlignment="1" applyProtection="1">
      <alignment horizontal="center" vertical="center" wrapText="1"/>
    </xf>
    <xf numFmtId="2" fontId="14" fillId="2" borderId="1" xfId="18" applyNumberFormat="1" applyFont="1" applyFill="1" applyBorder="1" applyAlignment="1" applyProtection="1">
      <alignment horizontal="center"/>
      <protection locked="0"/>
    </xf>
    <xf numFmtId="2" fontId="37" fillId="0" borderId="0" xfId="18" applyNumberFormat="1" applyFont="1" applyFill="1" applyBorder="1" applyAlignment="1" applyProtection="1">
      <alignment horizontal="right"/>
      <protection locked="0"/>
    </xf>
    <xf numFmtId="0" fontId="27" fillId="2" borderId="1" xfId="18" applyFont="1" applyFill="1" applyBorder="1" applyAlignment="1" applyProtection="1">
      <alignment horizontal="left" vertical="center" wrapText="1" indent="2"/>
    </xf>
    <xf numFmtId="166" fontId="14" fillId="2" borderId="1" xfId="18" applyNumberFormat="1" applyFont="1" applyFill="1" applyBorder="1" applyAlignment="1" applyProtection="1">
      <alignment horizontal="right"/>
      <protection locked="0"/>
    </xf>
    <xf numFmtId="1" fontId="9" fillId="2" borderId="1" xfId="18" applyNumberFormat="1" applyFont="1" applyFill="1" applyBorder="1" applyProtection="1"/>
    <xf numFmtId="0" fontId="38" fillId="2" borderId="1" xfId="18" applyFont="1" applyFill="1" applyBorder="1" applyAlignment="1">
      <alignment horizontal="left" vertical="center" wrapText="1"/>
    </xf>
    <xf numFmtId="0" fontId="38" fillId="2" borderId="1" xfId="18" applyFont="1" applyFill="1" applyBorder="1" applyAlignment="1">
      <alignment horizontal="center" vertical="center" wrapText="1"/>
    </xf>
    <xf numFmtId="49" fontId="15" fillId="2" borderId="0" xfId="18" applyNumberFormat="1" applyFont="1" applyFill="1" applyAlignment="1" applyProtection="1">
      <alignment horizontal="center" vertical="center"/>
    </xf>
    <xf numFmtId="49" fontId="15" fillId="2" borderId="0" xfId="18" applyNumberFormat="1" applyFont="1" applyFill="1" applyAlignment="1" applyProtection="1">
      <alignment horizontal="center"/>
    </xf>
    <xf numFmtId="49" fontId="15" fillId="2" borderId="0" xfId="18" applyNumberFormat="1" applyFont="1" applyFill="1" applyAlignment="1" applyProtection="1">
      <alignment horizontal="right"/>
    </xf>
    <xf numFmtId="167" fontId="15" fillId="2" borderId="0" xfId="18" applyNumberFormat="1" applyFont="1" applyFill="1" applyProtection="1"/>
    <xf numFmtId="1" fontId="16" fillId="2" borderId="1" xfId="18" applyNumberFormat="1" applyFont="1" applyFill="1" applyBorder="1" applyAlignment="1" applyProtection="1">
      <alignment horizontal="right"/>
      <protection locked="0"/>
    </xf>
    <xf numFmtId="2" fontId="39" fillId="2" borderId="1" xfId="18" applyNumberFormat="1" applyFont="1" applyFill="1" applyBorder="1" applyAlignment="1" applyProtection="1">
      <alignment horizontal="right"/>
      <protection locked="0"/>
    </xf>
    <xf numFmtId="0" fontId="40" fillId="0" borderId="0" xfId="18" applyFont="1" applyAlignment="1">
      <alignment horizontal="justify"/>
    </xf>
    <xf numFmtId="0" fontId="15" fillId="0" borderId="0" xfId="18" applyFont="1" applyFill="1" applyProtection="1"/>
    <xf numFmtId="49" fontId="15" fillId="0" borderId="0" xfId="18" applyNumberFormat="1" applyFont="1" applyFill="1" applyAlignment="1" applyProtection="1">
      <alignment horizontal="center" vertical="center"/>
    </xf>
    <xf numFmtId="49" fontId="15" fillId="0" borderId="0" xfId="18" applyNumberFormat="1" applyFont="1" applyFill="1" applyAlignment="1" applyProtection="1">
      <alignment horizontal="center"/>
    </xf>
    <xf numFmtId="49" fontId="15" fillId="0" borderId="0" xfId="18" applyNumberFormat="1" applyFont="1" applyFill="1" applyAlignment="1" applyProtection="1">
      <alignment horizontal="right"/>
    </xf>
    <xf numFmtId="167" fontId="15" fillId="0" borderId="0" xfId="18" applyNumberFormat="1" applyFont="1" applyFill="1" applyProtection="1"/>
    <xf numFmtId="0" fontId="42" fillId="0" borderId="0" xfId="18" applyFont="1" applyAlignment="1">
      <alignment horizontal="justify"/>
    </xf>
    <xf numFmtId="0" fontId="43" fillId="0" borderId="0" xfId="18" applyFont="1"/>
    <xf numFmtId="2" fontId="4" fillId="0" borderId="10" xfId="18" applyNumberFormat="1" applyFont="1" applyFill="1" applyBorder="1" applyAlignment="1" applyProtection="1">
      <alignment horizontal="right"/>
      <protection locked="0"/>
    </xf>
    <xf numFmtId="2" fontId="4" fillId="0" borderId="11" xfId="18" applyNumberFormat="1" applyFont="1" applyFill="1" applyBorder="1" applyAlignment="1" applyProtection="1">
      <alignment horizontal="right"/>
      <protection locked="0"/>
    </xf>
    <xf numFmtId="2" fontId="4" fillId="0" borderId="0" xfId="18" applyNumberFormat="1" applyFont="1" applyFill="1" applyBorder="1" applyAlignment="1" applyProtection="1">
      <alignment horizontal="right"/>
      <protection locked="0"/>
    </xf>
    <xf numFmtId="2" fontId="4" fillId="0" borderId="12" xfId="18" applyNumberFormat="1" applyFont="1" applyFill="1" applyBorder="1" applyAlignment="1" applyProtection="1">
      <alignment horizontal="right"/>
      <protection locked="0"/>
    </xf>
    <xf numFmtId="49" fontId="9" fillId="0" borderId="0" xfId="18" applyNumberFormat="1" applyFont="1" applyFill="1" applyAlignment="1" applyProtection="1">
      <alignment horizontal="center" vertical="center"/>
    </xf>
    <xf numFmtId="49" fontId="9" fillId="0" borderId="0" xfId="18" applyNumberFormat="1" applyFont="1" applyFill="1" applyAlignment="1" applyProtection="1">
      <alignment horizontal="center"/>
    </xf>
    <xf numFmtId="49" fontId="9" fillId="0" borderId="0" xfId="18" applyNumberFormat="1" applyFont="1" applyFill="1" applyAlignment="1" applyProtection="1">
      <alignment horizontal="right"/>
    </xf>
    <xf numFmtId="0" fontId="10" fillId="2" borderId="1" xfId="15" applyFont="1" applyFill="1" applyBorder="1" applyAlignment="1" applyProtection="1">
      <alignment horizontal="center" vertical="center" wrapText="1"/>
    </xf>
    <xf numFmtId="0" fontId="42" fillId="2" borderId="0" xfId="15" applyFont="1" applyFill="1" applyAlignment="1">
      <alignment horizontal="justify"/>
    </xf>
    <xf numFmtId="2" fontId="4" fillId="2" borderId="0" xfId="15" applyNumberFormat="1" applyFont="1" applyFill="1" applyBorder="1" applyAlignment="1" applyProtection="1">
      <alignment horizontal="right"/>
      <protection locked="0"/>
    </xf>
    <xf numFmtId="2" fontId="9" fillId="2" borderId="0" xfId="15" applyNumberFormat="1" applyFont="1" applyFill="1" applyProtection="1"/>
    <xf numFmtId="2" fontId="4" fillId="2" borderId="11" xfId="15" applyNumberFormat="1" applyFont="1" applyFill="1" applyBorder="1" applyAlignment="1" applyProtection="1">
      <alignment horizontal="right"/>
      <protection locked="0"/>
    </xf>
    <xf numFmtId="2" fontId="4" fillId="2" borderId="12" xfId="15" applyNumberFormat="1" applyFont="1" applyFill="1" applyBorder="1" applyAlignment="1" applyProtection="1">
      <alignment horizontal="right"/>
      <protection locked="0"/>
    </xf>
    <xf numFmtId="2" fontId="16" fillId="10" borderId="1" xfId="18" applyNumberFormat="1" applyFont="1" applyFill="1" applyBorder="1" applyAlignment="1" applyProtection="1">
      <alignment horizontal="right"/>
      <protection locked="0"/>
    </xf>
    <xf numFmtId="2" fontId="16" fillId="10" borderId="1" xfId="15" applyNumberFormat="1" applyFont="1" applyFill="1" applyBorder="1" applyAlignment="1" applyProtection="1">
      <alignment horizontal="right"/>
      <protection locked="0"/>
    </xf>
    <xf numFmtId="167" fontId="16" fillId="2" borderId="1" xfId="15" applyNumberFormat="1" applyFont="1" applyFill="1" applyBorder="1" applyAlignment="1" applyProtection="1">
      <alignment horizontal="right"/>
      <protection locked="0"/>
    </xf>
    <xf numFmtId="2" fontId="16" fillId="9" borderId="1" xfId="15" applyNumberFormat="1" applyFont="1" applyFill="1" applyBorder="1" applyAlignment="1" applyProtection="1">
      <alignment horizontal="right"/>
      <protection locked="0"/>
    </xf>
    <xf numFmtId="2" fontId="16" fillId="4" borderId="1" xfId="15" applyNumberFormat="1" applyFont="1" applyFill="1" applyBorder="1" applyAlignment="1" applyProtection="1">
      <alignment horizontal="right"/>
      <protection locked="0"/>
    </xf>
    <xf numFmtId="2" fontId="37" fillId="0" borderId="0" xfId="15" applyNumberFormat="1" applyFont="1" applyFill="1" applyBorder="1" applyAlignment="1" applyProtection="1">
      <alignment horizontal="left" wrapText="1"/>
      <protection locked="0"/>
    </xf>
    <xf numFmtId="0" fontId="21" fillId="0" borderId="0" xfId="15" applyFont="1" applyFill="1" applyAlignment="1" applyProtection="1">
      <alignment wrapText="1"/>
    </xf>
    <xf numFmtId="0" fontId="10" fillId="2" borderId="3" xfId="15" applyFont="1" applyFill="1" applyBorder="1" applyAlignment="1" applyProtection="1">
      <alignment vertical="center" wrapText="1"/>
    </xf>
    <xf numFmtId="2" fontId="16" fillId="2" borderId="3" xfId="15" applyNumberFormat="1" applyFont="1" applyFill="1" applyBorder="1" applyAlignment="1" applyProtection="1">
      <alignment horizontal="right"/>
      <protection locked="0"/>
    </xf>
    <xf numFmtId="2" fontId="18" fillId="2" borderId="3" xfId="15" applyNumberFormat="1" applyFont="1" applyFill="1" applyBorder="1" applyAlignment="1" applyProtection="1">
      <protection locked="0"/>
    </xf>
    <xf numFmtId="0" fontId="23" fillId="2" borderId="0" xfId="15" applyFont="1" applyFill="1" applyBorder="1" applyAlignment="1">
      <alignment vertical="top"/>
    </xf>
    <xf numFmtId="166" fontId="9" fillId="0" borderId="1" xfId="15" applyNumberFormat="1" applyFont="1" applyFill="1" applyBorder="1" applyProtection="1"/>
    <xf numFmtId="2" fontId="18" fillId="2" borderId="3" xfId="15" applyNumberFormat="1" applyFont="1" applyFill="1" applyBorder="1" applyAlignment="1" applyProtection="1">
      <alignment horizontal="right"/>
      <protection locked="0"/>
    </xf>
    <xf numFmtId="0" fontId="32" fillId="0" borderId="1" xfId="15" applyFont="1" applyBorder="1" applyAlignment="1">
      <alignment horizontal="justify"/>
    </xf>
    <xf numFmtId="2" fontId="9" fillId="0" borderId="1" xfId="15" applyNumberFormat="1" applyFont="1" applyFill="1" applyBorder="1" applyProtection="1"/>
    <xf numFmtId="0" fontId="35" fillId="0" borderId="1" xfId="15" applyFont="1" applyBorder="1"/>
    <xf numFmtId="0" fontId="7" fillId="2" borderId="1" xfId="15" applyFill="1" applyBorder="1"/>
    <xf numFmtId="0" fontId="35" fillId="2" borderId="1" xfId="15" applyFont="1" applyFill="1" applyBorder="1"/>
    <xf numFmtId="0" fontId="21" fillId="0" borderId="1" xfId="15" applyFont="1" applyFill="1" applyBorder="1" applyAlignment="1" applyProtection="1">
      <alignment wrapText="1"/>
    </xf>
    <xf numFmtId="2" fontId="37" fillId="0" borderId="1" xfId="15" applyNumberFormat="1" applyFont="1" applyFill="1" applyBorder="1" applyAlignment="1" applyProtection="1">
      <alignment horizontal="left" wrapText="1"/>
      <protection locked="0"/>
    </xf>
    <xf numFmtId="0" fontId="10" fillId="0" borderId="3" xfId="15" applyFont="1" applyBorder="1" applyAlignment="1" applyProtection="1">
      <alignment horizontal="centerContinuous" vertical="center" wrapText="1"/>
    </xf>
    <xf numFmtId="2" fontId="14" fillId="2" borderId="7" xfId="15" applyNumberFormat="1" applyFont="1" applyFill="1" applyBorder="1" applyAlignment="1" applyProtection="1">
      <alignment horizontal="right"/>
      <protection locked="0"/>
    </xf>
    <xf numFmtId="2" fontId="16" fillId="11" borderId="1" xfId="15" applyNumberFormat="1" applyFont="1" applyFill="1" applyBorder="1" applyAlignment="1" applyProtection="1">
      <alignment horizontal="right"/>
      <protection locked="0"/>
    </xf>
    <xf numFmtId="2" fontId="45" fillId="2" borderId="1" xfId="18" applyNumberFormat="1" applyFont="1" applyFill="1" applyBorder="1" applyAlignment="1" applyProtection="1">
      <alignment horizontal="right"/>
      <protection locked="0"/>
    </xf>
    <xf numFmtId="49" fontId="8" fillId="0" borderId="0" xfId="18" applyNumberFormat="1" applyFont="1" applyFill="1" applyAlignment="1" applyProtection="1">
      <alignment horizontal="center" vertical="center" wrapText="1"/>
    </xf>
    <xf numFmtId="2" fontId="4" fillId="2" borderId="12" xfId="18" applyNumberFormat="1" applyFont="1" applyFill="1" applyBorder="1" applyAlignment="1" applyProtection="1">
      <alignment horizontal="right"/>
      <protection locked="0"/>
    </xf>
    <xf numFmtId="2" fontId="4" fillId="2" borderId="0" xfId="18" applyNumberFormat="1" applyFont="1" applyFill="1" applyBorder="1" applyAlignment="1" applyProtection="1">
      <alignment horizontal="right"/>
      <protection locked="0"/>
    </xf>
    <xf numFmtId="2" fontId="4" fillId="2" borderId="11" xfId="18" applyNumberFormat="1" applyFont="1" applyFill="1" applyBorder="1" applyAlignment="1" applyProtection="1">
      <alignment horizontal="right"/>
      <protection locked="0"/>
    </xf>
    <xf numFmtId="0" fontId="42" fillId="2" borderId="0" xfId="18" applyFont="1" applyFill="1" applyAlignment="1">
      <alignment horizontal="justify"/>
    </xf>
    <xf numFmtId="2" fontId="9" fillId="2" borderId="0" xfId="18" applyNumberFormat="1" applyFont="1" applyFill="1" applyProtection="1"/>
    <xf numFmtId="0" fontId="10" fillId="0" borderId="3" xfId="18" applyFont="1" applyBorder="1" applyAlignment="1" applyProtection="1">
      <alignment horizontal="centerContinuous" vertical="center" wrapText="1"/>
    </xf>
    <xf numFmtId="0" fontId="10" fillId="2" borderId="1" xfId="18" applyFont="1" applyFill="1" applyBorder="1" applyAlignment="1" applyProtection="1">
      <alignment horizontal="center" vertical="center" wrapText="1"/>
    </xf>
    <xf numFmtId="0" fontId="10" fillId="2" borderId="0" xfId="18" applyFont="1" applyFill="1" applyBorder="1" applyAlignment="1" applyProtection="1">
      <alignment horizontal="center" vertical="center" wrapText="1"/>
    </xf>
    <xf numFmtId="0" fontId="44" fillId="2" borderId="0" xfId="18" applyFont="1" applyFill="1" applyBorder="1" applyAlignment="1" applyProtection="1">
      <alignment horizontal="center" vertical="center"/>
    </xf>
    <xf numFmtId="2" fontId="16" fillId="2" borderId="0" xfId="18" applyNumberFormat="1" applyFont="1" applyFill="1" applyBorder="1" applyAlignment="1" applyProtection="1">
      <alignment horizontal="right"/>
      <protection locked="0"/>
    </xf>
    <xf numFmtId="2" fontId="45" fillId="12" borderId="1" xfId="18" applyNumberFormat="1" applyFont="1" applyFill="1" applyBorder="1" applyAlignment="1" applyProtection="1">
      <alignment horizontal="right"/>
      <protection locked="0"/>
    </xf>
    <xf numFmtId="2" fontId="16" fillId="10" borderId="0" xfId="18" applyNumberFormat="1" applyFont="1" applyFill="1" applyBorder="1" applyAlignment="1" applyProtection="1">
      <alignment horizontal="right"/>
      <protection locked="0"/>
    </xf>
    <xf numFmtId="2" fontId="18" fillId="2" borderId="0" xfId="18" applyNumberFormat="1" applyFont="1" applyFill="1" applyBorder="1" applyAlignment="1" applyProtection="1">
      <protection locked="0"/>
    </xf>
    <xf numFmtId="2" fontId="18" fillId="2" borderId="0" xfId="18" applyNumberFormat="1" applyFont="1" applyFill="1" applyBorder="1" applyAlignment="1" applyProtection="1">
      <alignment horizontal="right"/>
      <protection locked="0"/>
    </xf>
    <xf numFmtId="0" fontId="24" fillId="2" borderId="0" xfId="18" applyFont="1" applyFill="1" applyBorder="1" applyAlignment="1">
      <alignment horizontal="center" vertical="top"/>
    </xf>
    <xf numFmtId="2" fontId="16" fillId="12" borderId="7" xfId="18" applyNumberFormat="1" applyFont="1" applyFill="1" applyBorder="1" applyAlignment="1" applyProtection="1">
      <alignment horizontal="right"/>
      <protection locked="0"/>
    </xf>
    <xf numFmtId="2" fontId="16" fillId="12" borderId="1" xfId="18" applyNumberFormat="1" applyFont="1" applyFill="1" applyBorder="1" applyAlignment="1" applyProtection="1">
      <alignment horizontal="right"/>
      <protection locked="0"/>
    </xf>
    <xf numFmtId="0" fontId="10" fillId="2" borderId="1" xfId="18" applyFont="1" applyFill="1" applyBorder="1" applyAlignment="1" applyProtection="1">
      <alignment horizontal="center" vertical="center" wrapText="1"/>
    </xf>
    <xf numFmtId="0" fontId="10" fillId="2" borderId="7" xfId="15" applyFont="1" applyFill="1" applyBorder="1" applyAlignment="1" applyProtection="1">
      <alignment horizontal="center" vertical="center" wrapText="1"/>
    </xf>
    <xf numFmtId="0" fontId="10" fillId="2" borderId="13" xfId="15" applyFont="1" applyFill="1" applyBorder="1" applyAlignment="1" applyProtection="1">
      <alignment horizontal="center" vertical="center" wrapText="1"/>
    </xf>
    <xf numFmtId="0" fontId="10" fillId="2" borderId="6" xfId="15" applyFont="1" applyFill="1" applyBorder="1" applyAlignment="1" applyProtection="1">
      <alignment horizontal="center" vertical="center" wrapText="1"/>
    </xf>
    <xf numFmtId="0" fontId="46" fillId="13" borderId="0" xfId="0" applyFont="1" applyFill="1" applyBorder="1" applyAlignment="1">
      <alignment horizontal="right" vertical="center" wrapText="1"/>
    </xf>
    <xf numFmtId="0" fontId="0" fillId="0" borderId="0" xfId="0" applyBorder="1"/>
    <xf numFmtId="0" fontId="48" fillId="2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0" xfId="0" applyFont="1"/>
    <xf numFmtId="0" fontId="33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center" vertical="center" wrapText="1"/>
    </xf>
    <xf numFmtId="166" fontId="38" fillId="2" borderId="1" xfId="0" applyNumberFormat="1" applyFont="1" applyFill="1" applyBorder="1" applyAlignment="1">
      <alignment horizontal="right" vertical="center" wrapText="1"/>
    </xf>
    <xf numFmtId="0" fontId="52" fillId="0" borderId="0" xfId="0" applyFont="1"/>
    <xf numFmtId="0" fontId="38" fillId="2" borderId="1" xfId="0" applyFont="1" applyFill="1" applyBorder="1" applyAlignment="1">
      <alignment horizontal="left" vertical="center" wrapText="1" indent="1"/>
    </xf>
    <xf numFmtId="166" fontId="5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4" fillId="2" borderId="1" xfId="0" applyFont="1" applyFill="1" applyBorder="1" applyAlignment="1">
      <alignment horizontal="center" vertical="center" wrapText="1"/>
    </xf>
    <xf numFmtId="1" fontId="53" fillId="2" borderId="1" xfId="0" applyNumberFormat="1" applyFont="1" applyFill="1" applyBorder="1" applyAlignment="1">
      <alignment horizontal="right"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left" vertical="center" wrapText="1" indent="1"/>
    </xf>
    <xf numFmtId="0" fontId="51" fillId="0" borderId="0" xfId="0" applyFont="1"/>
    <xf numFmtId="0" fontId="56" fillId="0" borderId="0" xfId="1" applyFont="1" applyFill="1" applyBorder="1" applyAlignment="1" applyProtection="1">
      <alignment horizontal="left" vertical="center" wrapText="1"/>
      <protection hidden="1"/>
    </xf>
    <xf numFmtId="0" fontId="57" fillId="0" borderId="0" xfId="0" applyFont="1" applyAlignment="1">
      <alignment wrapText="1"/>
    </xf>
    <xf numFmtId="1" fontId="38" fillId="2" borderId="1" xfId="0" applyNumberFormat="1" applyFont="1" applyFill="1" applyBorder="1" applyAlignment="1">
      <alignment horizontal="right" vertical="center" wrapText="1"/>
    </xf>
    <xf numFmtId="0" fontId="38" fillId="2" borderId="1" xfId="0" applyFont="1" applyFill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/>
    </xf>
    <xf numFmtId="0" fontId="53" fillId="2" borderId="1" xfId="0" applyFont="1" applyFill="1" applyBorder="1" applyAlignment="1">
      <alignment horizontal="right" vertical="center" wrapText="1"/>
    </xf>
    <xf numFmtId="0" fontId="55" fillId="0" borderId="1" xfId="0" applyFont="1" applyBorder="1" applyAlignment="1">
      <alignment horizontal="right"/>
    </xf>
    <xf numFmtId="166" fontId="16" fillId="0" borderId="1" xfId="18" applyNumberFormat="1" applyFont="1" applyFill="1" applyBorder="1" applyAlignment="1" applyProtection="1">
      <alignment horizontal="right"/>
      <protection locked="0"/>
    </xf>
    <xf numFmtId="166" fontId="18" fillId="2" borderId="1" xfId="18" applyNumberFormat="1" applyFont="1" applyFill="1" applyBorder="1" applyAlignment="1" applyProtection="1">
      <protection locked="0"/>
    </xf>
    <xf numFmtId="166" fontId="18" fillId="0" borderId="1" xfId="18" applyNumberFormat="1" applyFont="1" applyFill="1" applyBorder="1" applyAlignment="1" applyProtection="1">
      <protection locked="0"/>
    </xf>
    <xf numFmtId="166" fontId="23" fillId="2" borderId="8" xfId="18" applyNumberFormat="1" applyFont="1" applyFill="1" applyBorder="1" applyAlignment="1">
      <alignment vertical="top"/>
    </xf>
    <xf numFmtId="166" fontId="23" fillId="0" borderId="8" xfId="18" applyNumberFormat="1" applyFont="1" applyFill="1" applyBorder="1" applyAlignment="1">
      <alignment vertical="top"/>
    </xf>
    <xf numFmtId="166" fontId="18" fillId="2" borderId="1" xfId="18" applyNumberFormat="1" applyFont="1" applyFill="1" applyBorder="1" applyAlignment="1" applyProtection="1">
      <alignment horizontal="right"/>
      <protection locked="0"/>
    </xf>
    <xf numFmtId="166" fontId="24" fillId="2" borderId="1" xfId="18" applyNumberFormat="1" applyFont="1" applyFill="1" applyBorder="1" applyAlignment="1">
      <alignment horizontal="center" vertical="top"/>
    </xf>
    <xf numFmtId="166" fontId="16" fillId="2" borderId="7" xfId="18" applyNumberFormat="1" applyFont="1" applyFill="1" applyBorder="1" applyAlignment="1" applyProtection="1">
      <alignment horizontal="right"/>
      <protection locked="0"/>
    </xf>
    <xf numFmtId="166" fontId="9" fillId="2" borderId="0" xfId="18" applyNumberFormat="1" applyFont="1" applyFill="1" applyProtection="1"/>
    <xf numFmtId="166" fontId="60" fillId="0" borderId="1" xfId="18" applyNumberFormat="1" applyFont="1" applyFill="1" applyBorder="1" applyAlignment="1" applyProtection="1">
      <alignment horizontal="right"/>
      <protection locked="0"/>
    </xf>
    <xf numFmtId="166" fontId="16" fillId="10" borderId="1" xfId="18" applyNumberFormat="1" applyFont="1" applyFill="1" applyBorder="1" applyAlignment="1" applyProtection="1">
      <alignment horizontal="right"/>
      <protection locked="0"/>
    </xf>
    <xf numFmtId="0" fontId="21" fillId="0" borderId="0" xfId="18" applyFont="1" applyFill="1" applyAlignment="1" applyProtection="1">
      <alignment wrapText="1"/>
    </xf>
    <xf numFmtId="2" fontId="37" fillId="0" borderId="0" xfId="18" applyNumberFormat="1" applyFont="1" applyFill="1" applyBorder="1" applyAlignment="1" applyProtection="1">
      <alignment horizontal="left" wrapText="1"/>
      <protection locked="0"/>
    </xf>
    <xf numFmtId="2" fontId="14" fillId="2" borderId="3" xfId="18" applyNumberFormat="1" applyFont="1" applyFill="1" applyBorder="1" applyAlignment="1" applyProtection="1">
      <alignment horizontal="right"/>
      <protection locked="0"/>
    </xf>
    <xf numFmtId="2" fontId="16" fillId="2" borderId="3" xfId="18" applyNumberFormat="1" applyFont="1" applyFill="1" applyBorder="1" applyAlignment="1" applyProtection="1">
      <alignment horizontal="right"/>
      <protection locked="0"/>
    </xf>
    <xf numFmtId="2" fontId="18" fillId="2" borderId="3" xfId="18" applyNumberFormat="1" applyFont="1" applyFill="1" applyBorder="1" applyAlignment="1" applyProtection="1">
      <alignment horizontal="right"/>
      <protection locked="0"/>
    </xf>
    <xf numFmtId="166" fontId="16" fillId="0" borderId="3" xfId="18" applyNumberFormat="1" applyFont="1" applyFill="1" applyBorder="1" applyAlignment="1" applyProtection="1">
      <alignment horizontal="right"/>
      <protection locked="0"/>
    </xf>
    <xf numFmtId="166" fontId="18" fillId="0" borderId="3" xfId="18" applyNumberFormat="1" applyFont="1" applyFill="1" applyBorder="1" applyAlignment="1" applyProtection="1">
      <protection locked="0"/>
    </xf>
    <xf numFmtId="166" fontId="23" fillId="0" borderId="0" xfId="18" applyNumberFormat="1" applyFont="1" applyFill="1" applyBorder="1" applyAlignment="1">
      <alignment vertical="top"/>
    </xf>
    <xf numFmtId="166" fontId="18" fillId="2" borderId="3" xfId="18" applyNumberFormat="1" applyFont="1" applyFill="1" applyBorder="1" applyAlignment="1" applyProtection="1">
      <protection locked="0"/>
    </xf>
    <xf numFmtId="166" fontId="18" fillId="2" borderId="3" xfId="18" applyNumberFormat="1" applyFont="1" applyFill="1" applyBorder="1" applyAlignment="1" applyProtection="1">
      <alignment horizontal="right"/>
      <protection locked="0"/>
    </xf>
    <xf numFmtId="166" fontId="24" fillId="2" borderId="3" xfId="18" applyNumberFormat="1" applyFont="1" applyFill="1" applyBorder="1" applyAlignment="1">
      <alignment horizontal="center" vertical="top"/>
    </xf>
    <xf numFmtId="166" fontId="16" fillId="2" borderId="15" xfId="18" applyNumberFormat="1" applyFont="1" applyFill="1" applyBorder="1" applyAlignment="1" applyProtection="1">
      <alignment horizontal="right"/>
      <protection locked="0"/>
    </xf>
    <xf numFmtId="166" fontId="16" fillId="2" borderId="3" xfId="18" applyNumberFormat="1" applyFont="1" applyFill="1" applyBorder="1" applyAlignment="1" applyProtection="1">
      <alignment horizontal="right"/>
      <protection locked="0"/>
    </xf>
    <xf numFmtId="166" fontId="60" fillId="0" borderId="3" xfId="18" applyNumberFormat="1" applyFont="1" applyFill="1" applyBorder="1" applyAlignment="1" applyProtection="1">
      <alignment horizontal="right"/>
      <protection locked="0"/>
    </xf>
    <xf numFmtId="2" fontId="39" fillId="2" borderId="3" xfId="18" applyNumberFormat="1" applyFont="1" applyFill="1" applyBorder="1" applyAlignment="1" applyProtection="1">
      <alignment horizontal="right"/>
      <protection locked="0"/>
    </xf>
    <xf numFmtId="166" fontId="23" fillId="0" borderId="1" xfId="18" applyNumberFormat="1" applyFont="1" applyFill="1" applyBorder="1" applyAlignment="1">
      <alignment vertical="top"/>
    </xf>
    <xf numFmtId="2" fontId="9" fillId="0" borderId="1" xfId="18" applyNumberFormat="1" applyFont="1" applyFill="1" applyBorder="1" applyProtection="1"/>
    <xf numFmtId="0" fontId="0" fillId="0" borderId="0" xfId="0" applyBorder="1" applyAlignment="1">
      <alignment vertical="center"/>
    </xf>
    <xf numFmtId="2" fontId="51" fillId="0" borderId="1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1" fillId="2" borderId="1" xfId="1" applyFont="1" applyFill="1" applyBorder="1" applyAlignment="1" applyProtection="1">
      <alignment horizontal="center" vertical="center" wrapText="1"/>
      <protection hidden="1"/>
    </xf>
    <xf numFmtId="0" fontId="61" fillId="2" borderId="1" xfId="0" applyFont="1" applyFill="1" applyBorder="1" applyAlignment="1">
      <alignment horizontal="center" vertical="center" wrapText="1"/>
    </xf>
    <xf numFmtId="1" fontId="9" fillId="0" borderId="1" xfId="18" applyNumberFormat="1" applyFont="1" applyFill="1" applyBorder="1" applyProtection="1"/>
    <xf numFmtId="166" fontId="48" fillId="10" borderId="1" xfId="0" applyNumberFormat="1" applyFont="1" applyFill="1" applyBorder="1" applyAlignment="1">
      <alignment horizontal="right" vertical="center" wrapText="1"/>
    </xf>
    <xf numFmtId="1" fontId="9" fillId="2" borderId="3" xfId="18" applyNumberFormat="1" applyFont="1" applyFill="1" applyBorder="1" applyProtection="1"/>
    <xf numFmtId="1" fontId="16" fillId="2" borderId="3" xfId="18" applyNumberFormat="1" applyFont="1" applyFill="1" applyBorder="1" applyAlignment="1" applyProtection="1">
      <alignment horizontal="right"/>
      <protection locked="0"/>
    </xf>
    <xf numFmtId="166" fontId="5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8" fontId="6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2" fillId="2" borderId="1" xfId="1" applyFont="1" applyFill="1" applyBorder="1" applyAlignment="1" applyProtection="1">
      <alignment horizontal="center" vertical="center" wrapText="1"/>
      <protection hidden="1"/>
    </xf>
    <xf numFmtId="0" fontId="63" fillId="0" borderId="1" xfId="0" applyFont="1" applyBorder="1" applyAlignment="1">
      <alignment vertical="center"/>
    </xf>
    <xf numFmtId="1" fontId="38" fillId="2" borderId="1" xfId="0" applyNumberFormat="1" applyFont="1" applyFill="1" applyBorder="1" applyAlignment="1">
      <alignment horizontal="center" vertical="center" wrapText="1"/>
    </xf>
    <xf numFmtId="2" fontId="51" fillId="0" borderId="1" xfId="0" applyNumberFormat="1" applyFont="1" applyBorder="1" applyAlignment="1">
      <alignment vertical="center"/>
    </xf>
    <xf numFmtId="166" fontId="38" fillId="2" borderId="1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166" fontId="0" fillId="0" borderId="1" xfId="0" applyNumberFormat="1" applyBorder="1"/>
    <xf numFmtId="0" fontId="38" fillId="2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3" fillId="10" borderId="1" xfId="0" applyFont="1" applyFill="1" applyBorder="1" applyAlignment="1">
      <alignment horizontal="center" vertical="center" wrapText="1"/>
    </xf>
    <xf numFmtId="166" fontId="38" fillId="2" borderId="7" xfId="0" applyNumberFormat="1" applyFont="1" applyFill="1" applyBorder="1" applyAlignment="1">
      <alignment horizontal="right" vertical="center" wrapText="1"/>
    </xf>
    <xf numFmtId="0" fontId="55" fillId="2" borderId="1" xfId="0" applyFont="1" applyFill="1" applyBorder="1" applyAlignment="1">
      <alignment horizontal="left" vertical="center" wrapText="1"/>
    </xf>
    <xf numFmtId="2" fontId="64" fillId="0" borderId="0" xfId="1" applyNumberFormat="1" applyFont="1" applyFill="1" applyBorder="1" applyAlignment="1" applyProtection="1">
      <alignment horizontal="left" vertical="center" wrapText="1"/>
      <protection hidden="1"/>
    </xf>
    <xf numFmtId="2" fontId="56" fillId="0" borderId="0" xfId="1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/>
    <xf numFmtId="0" fontId="64" fillId="0" borderId="0" xfId="1" applyFont="1" applyFill="1" applyBorder="1" applyAlignment="1" applyProtection="1">
      <alignment horizontal="left" vertical="center" wrapText="1"/>
      <protection hidden="1"/>
    </xf>
    <xf numFmtId="0" fontId="0" fillId="0" borderId="0" xfId="0" applyFont="1"/>
    <xf numFmtId="0" fontId="56" fillId="0" borderId="0" xfId="1" applyFont="1" applyFill="1" applyBorder="1" applyAlignment="1" applyProtection="1">
      <alignment horizontal="left" vertical="center" wrapText="1"/>
      <protection hidden="1"/>
    </xf>
    <xf numFmtId="0" fontId="57" fillId="0" borderId="0" xfId="0" applyFont="1" applyAlignment="1">
      <alignment wrapText="1"/>
    </xf>
    <xf numFmtId="0" fontId="38" fillId="4" borderId="1" xfId="0" applyFont="1" applyFill="1" applyBorder="1" applyAlignment="1">
      <alignment horizontal="left" vertical="center" wrapText="1"/>
    </xf>
    <xf numFmtId="2" fontId="52" fillId="0" borderId="0" xfId="0" applyNumberFormat="1" applyFont="1"/>
    <xf numFmtId="0" fontId="65" fillId="0" borderId="0" xfId="0" applyFont="1"/>
    <xf numFmtId="0" fontId="66" fillId="0" borderId="18" xfId="0" applyFont="1" applyBorder="1" applyAlignment="1">
      <alignment horizontal="center" wrapText="1"/>
    </xf>
    <xf numFmtId="0" fontId="66" fillId="0" borderId="8" xfId="0" applyFont="1" applyBorder="1" applyAlignment="1">
      <alignment horizontal="center" wrapText="1"/>
    </xf>
    <xf numFmtId="0" fontId="44" fillId="2" borderId="1" xfId="15" applyFont="1" applyFill="1" applyBorder="1" applyAlignment="1" applyProtection="1">
      <alignment horizontal="center" vertical="center"/>
    </xf>
    <xf numFmtId="0" fontId="41" fillId="0" borderId="0" xfId="15" applyFont="1" applyAlignment="1">
      <alignment horizontal="justify"/>
    </xf>
    <xf numFmtId="49" fontId="8" fillId="0" borderId="0" xfId="15" applyNumberFormat="1" applyFont="1" applyFill="1" applyAlignment="1" applyProtection="1">
      <alignment horizontal="center" vertical="center" wrapText="1"/>
    </xf>
    <xf numFmtId="0" fontId="10" fillId="0" borderId="2" xfId="15" applyFont="1" applyFill="1" applyBorder="1" applyAlignment="1" applyProtection="1">
      <alignment horizontal="center" vertical="center"/>
    </xf>
    <xf numFmtId="0" fontId="10" fillId="0" borderId="6" xfId="15" applyFont="1" applyFill="1" applyBorder="1" applyAlignment="1" applyProtection="1">
      <alignment horizontal="center" vertical="center"/>
    </xf>
    <xf numFmtId="0" fontId="10" fillId="0" borderId="7" xfId="15" applyFont="1" applyFill="1" applyBorder="1" applyAlignment="1" applyProtection="1">
      <alignment horizontal="center" vertical="center"/>
    </xf>
    <xf numFmtId="0" fontId="10" fillId="0" borderId="2" xfId="15" applyFont="1" applyFill="1" applyBorder="1" applyAlignment="1" applyProtection="1">
      <alignment horizontal="center" vertical="center" wrapText="1"/>
    </xf>
    <xf numFmtId="0" fontId="10" fillId="0" borderId="6" xfId="15" applyFont="1" applyFill="1" applyBorder="1" applyAlignment="1" applyProtection="1">
      <alignment horizontal="center" vertical="center" wrapText="1"/>
    </xf>
    <xf numFmtId="0" fontId="10" fillId="0" borderId="7" xfId="15" applyFont="1" applyFill="1" applyBorder="1" applyAlignment="1" applyProtection="1">
      <alignment horizontal="center" vertical="center" wrapText="1"/>
    </xf>
    <xf numFmtId="0" fontId="10" fillId="2" borderId="3" xfId="15" applyFont="1" applyFill="1" applyBorder="1" applyAlignment="1" applyProtection="1">
      <alignment horizontal="center" vertical="center" wrapText="1"/>
    </xf>
    <xf numFmtId="0" fontId="10" fillId="2" borderId="4" xfId="15" applyFont="1" applyFill="1" applyBorder="1" applyAlignment="1" applyProtection="1">
      <alignment horizontal="center" vertical="center" wrapText="1"/>
    </xf>
    <xf numFmtId="0" fontId="10" fillId="2" borderId="5" xfId="15" applyFont="1" applyFill="1" applyBorder="1" applyAlignment="1" applyProtection="1">
      <alignment horizontal="center" vertical="center" wrapText="1"/>
    </xf>
    <xf numFmtId="0" fontId="10" fillId="2" borderId="1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 vertical="center" wrapText="1"/>
    </xf>
    <xf numFmtId="0" fontId="10" fillId="2" borderId="7" xfId="15" applyFont="1" applyFill="1" applyBorder="1" applyAlignment="1" applyProtection="1">
      <alignment horizontal="center" vertical="center" wrapText="1"/>
    </xf>
    <xf numFmtId="0" fontId="10" fillId="2" borderId="1" xfId="15" applyFont="1" applyFill="1" applyBorder="1" applyAlignment="1" applyProtection="1">
      <alignment horizontal="center" vertical="center" wrapText="1"/>
    </xf>
    <xf numFmtId="0" fontId="10" fillId="0" borderId="2" xfId="18" applyFont="1" applyFill="1" applyBorder="1" applyAlignment="1" applyProtection="1">
      <alignment horizontal="center" vertical="center" wrapText="1"/>
    </xf>
    <xf numFmtId="0" fontId="10" fillId="0" borderId="7" xfId="18" applyFont="1" applyFill="1" applyBorder="1" applyAlignment="1" applyProtection="1">
      <alignment horizontal="center" vertical="center" wrapText="1"/>
    </xf>
    <xf numFmtId="0" fontId="41" fillId="0" borderId="0" xfId="18" applyFont="1" applyAlignment="1">
      <alignment horizontal="justify"/>
    </xf>
    <xf numFmtId="49" fontId="8" fillId="0" borderId="0" xfId="18" applyNumberFormat="1" applyFont="1" applyFill="1" applyAlignment="1" applyProtection="1">
      <alignment horizontal="center" vertical="center" wrapText="1"/>
    </xf>
    <xf numFmtId="0" fontId="10" fillId="0" borderId="2" xfId="18" applyFont="1" applyFill="1" applyBorder="1" applyAlignment="1" applyProtection="1">
      <alignment horizontal="center" vertical="center"/>
    </xf>
    <xf numFmtId="0" fontId="10" fillId="0" borderId="6" xfId="18" applyFont="1" applyFill="1" applyBorder="1" applyAlignment="1" applyProtection="1">
      <alignment horizontal="center" vertical="center"/>
    </xf>
    <xf numFmtId="0" fontId="10" fillId="0" borderId="7" xfId="18" applyFont="1" applyFill="1" applyBorder="1" applyAlignment="1" applyProtection="1">
      <alignment horizontal="center" vertical="center"/>
    </xf>
    <xf numFmtId="0" fontId="10" fillId="0" borderId="6" xfId="18" applyFont="1" applyFill="1" applyBorder="1" applyAlignment="1" applyProtection="1">
      <alignment horizontal="center" vertical="center" wrapText="1"/>
    </xf>
    <xf numFmtId="0" fontId="10" fillId="0" borderId="3" xfId="18" applyFont="1" applyBorder="1" applyAlignment="1" applyProtection="1">
      <alignment horizontal="center" vertical="center" wrapText="1"/>
    </xf>
    <xf numFmtId="0" fontId="10" fillId="0" borderId="4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horizontal="center" vertical="center" wrapText="1"/>
    </xf>
    <xf numFmtId="0" fontId="10" fillId="0" borderId="1" xfId="18" applyFont="1" applyFill="1" applyBorder="1" applyAlignment="1" applyProtection="1">
      <alignment horizontal="center" vertical="center"/>
    </xf>
    <xf numFmtId="0" fontId="10" fillId="2" borderId="3" xfId="18" applyFont="1" applyFill="1" applyBorder="1" applyAlignment="1" applyProtection="1">
      <alignment horizontal="center" vertical="center" wrapText="1"/>
    </xf>
    <xf numFmtId="0" fontId="10" fillId="2" borderId="4" xfId="18" applyFont="1" applyFill="1" applyBorder="1" applyAlignment="1" applyProtection="1">
      <alignment horizontal="center" vertical="center" wrapText="1"/>
    </xf>
    <xf numFmtId="0" fontId="10" fillId="2" borderId="14" xfId="18" applyFont="1" applyFill="1" applyBorder="1" applyAlignment="1" applyProtection="1">
      <alignment horizontal="center" vertical="center" wrapText="1"/>
    </xf>
    <xf numFmtId="0" fontId="10" fillId="2" borderId="15" xfId="18" applyFont="1" applyFill="1" applyBorder="1" applyAlignment="1" applyProtection="1">
      <alignment horizontal="center" vertical="center" wrapText="1"/>
    </xf>
    <xf numFmtId="0" fontId="10" fillId="2" borderId="2" xfId="18" applyFont="1" applyFill="1" applyBorder="1" applyAlignment="1" applyProtection="1">
      <alignment horizontal="center" vertical="center" wrapText="1"/>
    </xf>
    <xf numFmtId="0" fontId="10" fillId="2" borderId="6" xfId="18" applyFont="1" applyFill="1" applyBorder="1" applyAlignment="1" applyProtection="1">
      <alignment horizontal="center" vertical="center" wrapText="1"/>
    </xf>
    <xf numFmtId="0" fontId="10" fillId="2" borderId="7" xfId="18" applyFont="1" applyFill="1" applyBorder="1" applyAlignment="1" applyProtection="1">
      <alignment horizontal="center" vertical="center" wrapText="1"/>
    </xf>
    <xf numFmtId="0" fontId="10" fillId="2" borderId="5" xfId="18" applyFont="1" applyFill="1" applyBorder="1" applyAlignment="1" applyProtection="1">
      <alignment horizontal="center" vertical="center" wrapText="1"/>
    </xf>
    <xf numFmtId="0" fontId="10" fillId="2" borderId="7" xfId="18" applyFont="1" applyFill="1" applyBorder="1" applyAlignment="1" applyProtection="1">
      <alignment horizontal="center" vertical="center"/>
    </xf>
    <xf numFmtId="0" fontId="10" fillId="2" borderId="1" xfId="18" applyFont="1" applyFill="1" applyBorder="1" applyAlignment="1" applyProtection="1">
      <alignment horizontal="center" vertical="center"/>
    </xf>
    <xf numFmtId="0" fontId="10" fillId="2" borderId="6" xfId="18" applyFont="1" applyFill="1" applyBorder="1" applyAlignment="1" applyProtection="1">
      <alignment horizontal="center" vertical="center"/>
    </xf>
    <xf numFmtId="0" fontId="10" fillId="2" borderId="15" xfId="18" applyFont="1" applyFill="1" applyBorder="1" applyAlignment="1" applyProtection="1">
      <alignment horizontal="center" vertical="center"/>
    </xf>
    <xf numFmtId="0" fontId="10" fillId="2" borderId="3" xfId="18" applyFont="1" applyFill="1" applyBorder="1" applyAlignment="1" applyProtection="1">
      <alignment horizontal="center" vertical="center"/>
    </xf>
    <xf numFmtId="0" fontId="44" fillId="2" borderId="1" xfId="18" applyFont="1" applyFill="1" applyBorder="1" applyAlignment="1" applyProtection="1">
      <alignment horizontal="center" vertical="center"/>
    </xf>
    <xf numFmtId="0" fontId="10" fillId="2" borderId="1" xfId="18" applyFont="1" applyFill="1" applyBorder="1" applyAlignment="1" applyProtection="1">
      <alignment horizontal="center" vertical="center" wrapText="1"/>
    </xf>
    <xf numFmtId="0" fontId="10" fillId="2" borderId="2" xfId="18" applyFont="1" applyFill="1" applyBorder="1" applyAlignment="1" applyProtection="1">
      <alignment horizontal="center" vertical="center"/>
    </xf>
    <xf numFmtId="0" fontId="58" fillId="0" borderId="0" xfId="0" applyFont="1" applyAlignment="1">
      <alignment wrapText="1"/>
    </xf>
    <xf numFmtId="0" fontId="47" fillId="13" borderId="17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top" wrapText="1"/>
    </xf>
    <xf numFmtId="0" fontId="53" fillId="2" borderId="1" xfId="0" applyFont="1" applyFill="1" applyBorder="1" applyAlignment="1">
      <alignment horizontal="left" vertical="top" wrapText="1"/>
    </xf>
    <xf numFmtId="0" fontId="56" fillId="0" borderId="0" xfId="1" applyFont="1" applyFill="1" applyBorder="1" applyAlignment="1" applyProtection="1">
      <alignment horizontal="left" vertical="center" wrapText="1"/>
      <protection hidden="1"/>
    </xf>
    <xf numFmtId="0" fontId="57" fillId="0" borderId="0" xfId="0" applyFont="1" applyAlignment="1">
      <alignment wrapText="1"/>
    </xf>
    <xf numFmtId="49" fontId="8" fillId="0" borderId="17" xfId="18" applyNumberFormat="1" applyFont="1" applyFill="1" applyBorder="1" applyAlignment="1" applyProtection="1">
      <alignment horizontal="center" vertical="center" wrapText="1"/>
    </xf>
    <xf numFmtId="0" fontId="10" fillId="2" borderId="6" xfId="15" applyFont="1" applyFill="1" applyBorder="1" applyAlignment="1" applyProtection="1">
      <alignment horizontal="center" vertical="center"/>
    </xf>
    <xf numFmtId="0" fontId="10" fillId="2" borderId="14" xfId="15" applyFont="1" applyFill="1" applyBorder="1" applyAlignment="1" applyProtection="1">
      <alignment horizontal="center" vertical="center" wrapText="1"/>
    </xf>
    <xf numFmtId="0" fontId="10" fillId="2" borderId="15" xfId="15" applyFont="1" applyFill="1" applyBorder="1" applyAlignment="1" applyProtection="1">
      <alignment horizontal="center" vertical="center" wrapText="1"/>
    </xf>
    <xf numFmtId="0" fontId="44" fillId="0" borderId="6" xfId="15" applyFont="1" applyFill="1" applyBorder="1" applyAlignment="1" applyProtection="1">
      <alignment horizontal="center" vertical="center"/>
    </xf>
    <xf numFmtId="0" fontId="44" fillId="0" borderId="7" xfId="15" applyFont="1" applyFill="1" applyBorder="1" applyAlignment="1" applyProtection="1">
      <alignment horizontal="center" vertical="center"/>
    </xf>
    <xf numFmtId="0" fontId="44" fillId="2" borderId="16" xfId="15" applyFont="1" applyFill="1" applyBorder="1" applyAlignment="1" applyProtection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</xf>
    <xf numFmtId="0" fontId="44" fillId="2" borderId="7" xfId="15" applyFont="1" applyFill="1" applyBorder="1" applyAlignment="1" applyProtection="1">
      <alignment horizontal="center" vertical="center"/>
    </xf>
  </cellXfs>
  <cellStyles count="22">
    <cellStyle name="Euro" xfId="2"/>
    <cellStyle name="Гиперссылка 2" xfId="19"/>
    <cellStyle name="Обычный" xfId="0" builtinId="0"/>
    <cellStyle name="Обычный 2" xfId="1"/>
    <cellStyle name="Обычный 2 2" xfId="3"/>
    <cellStyle name="Обычный 2 2 2" xfId="4"/>
    <cellStyle name="Обычный 2 3" xfId="20"/>
    <cellStyle name="Обычный 3" xfId="5"/>
    <cellStyle name="Обычный 3 2" xfId="16"/>
    <cellStyle name="Обычный 4" xfId="6"/>
    <cellStyle name="Обычный 5" xfId="7"/>
    <cellStyle name="Обычный 6" xfId="15"/>
    <cellStyle name="Обычный 6 2" xfId="18"/>
    <cellStyle name="Процентный 2" xfId="8"/>
    <cellStyle name="Процентный 3" xfId="9"/>
    <cellStyle name="Процентный 4" xfId="10"/>
    <cellStyle name="Финансовый 2" xfId="11"/>
    <cellStyle name="Финансовый 2 2" xfId="12"/>
    <cellStyle name="Финансовый 2 3" xfId="21"/>
    <cellStyle name="Финансовый 3" xfId="13"/>
    <cellStyle name="Финансовый 3 2" xfId="14"/>
    <cellStyle name="Финансовый 4" xfId="17"/>
  </cellStyles>
  <dxfs count="36"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rgb="FFFF0000"/>
      </font>
    </dxf>
    <dxf>
      <font>
        <color theme="8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13E~1\AppData\Local\Temp\Users\892340402\Desktop\&#1045;&#1078;&#1077;&#1084;&#1077;&#1089;.%20&#1087;&#1086;&#1082;&#1072;&#1079;&#1072;&#1090;&#1077;&#1083;&#1080;888\&#1045;&#1078;&#1077;&#1084;.%20&#1087;&#1086;&#1082;&#1072;&#1079;&#1072;&#1090;&#1077;&#1083;&#1080;%202014&#1075;&#1086;&#1076;\&#1045;&#1078;&#1077;&#1084;&#1077;&#1089;&#1103;&#1095;&#1085;&#1099;&#1077;%20%20&#1087;&#1086;&#1082;&#1072;&#1079;&#1072;&#1090;&#1077;&#1083;&#1080;%20%20&#1079;&#1072;%202014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ав. анализ показ 2013"/>
      <sheetName val="НДФЛ"/>
      <sheetName val="2013"/>
      <sheetName val="сравн. анал 9 мес."/>
      <sheetName val="2014"/>
      <sheetName val="4.Пром-2014"/>
      <sheetName val="уров.соб2013."/>
      <sheetName val="строит"/>
      <sheetName val="Объем инвестиций"/>
      <sheetName val="переч. неплат"/>
      <sheetName val="Перечень пок.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C6">
            <v>509000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7"/>
  <sheetViews>
    <sheetView view="pageBreakPreview" zoomScaleNormal="85" zoomScaleSheetLayoutView="100" workbookViewId="0">
      <pane ySplit="6" topLeftCell="A172" activePane="bottomLeft" state="frozen"/>
      <selection pane="bottomLeft" activeCell="K2" sqref="K2"/>
    </sheetView>
  </sheetViews>
  <sheetFormatPr defaultColWidth="8.85546875" defaultRowHeight="12"/>
  <cols>
    <col min="1" max="1" width="45.140625" style="1" customWidth="1"/>
    <col min="2" max="2" width="12.5703125" style="1" customWidth="1"/>
    <col min="3" max="3" width="9.42578125" style="95" hidden="1" customWidth="1"/>
    <col min="4" max="4" width="5.140625" style="96" hidden="1" customWidth="1"/>
    <col min="5" max="5" width="6.28515625" style="97" hidden="1" customWidth="1"/>
    <col min="6" max="6" width="8.42578125" style="95" hidden="1" customWidth="1"/>
    <col min="7" max="7" width="10.85546875" style="1" hidden="1" customWidth="1"/>
    <col min="8" max="10" width="8.7109375" style="25" customWidth="1"/>
    <col min="11" max="11" width="9.140625" style="25" customWidth="1"/>
    <col min="12" max="14" width="8.85546875" style="25" customWidth="1"/>
    <col min="15" max="15" width="14.7109375" style="1" customWidth="1"/>
    <col min="16" max="16" width="12.28515625" style="1" customWidth="1"/>
    <col min="17" max="18" width="7.140625" style="1" customWidth="1"/>
    <col min="19" max="257" width="8.85546875" style="1"/>
    <col min="258" max="258" width="50.28515625" style="1" customWidth="1"/>
    <col min="259" max="259" width="12.5703125" style="1" customWidth="1"/>
    <col min="260" max="264" width="0" style="1" hidden="1" customWidth="1"/>
    <col min="265" max="266" width="9.7109375" style="1" customWidth="1"/>
    <col min="267" max="268" width="10.7109375" style="1" customWidth="1"/>
    <col min="269" max="270" width="10.42578125" style="1" customWidth="1"/>
    <col min="271" max="271" width="7.140625" style="1" customWidth="1"/>
    <col min="272" max="272" width="12.28515625" style="1" customWidth="1"/>
    <col min="273" max="274" width="7.140625" style="1" customWidth="1"/>
    <col min="275" max="513" width="8.85546875" style="1"/>
    <col min="514" max="514" width="50.28515625" style="1" customWidth="1"/>
    <col min="515" max="515" width="12.5703125" style="1" customWidth="1"/>
    <col min="516" max="520" width="0" style="1" hidden="1" customWidth="1"/>
    <col min="521" max="522" width="9.7109375" style="1" customWidth="1"/>
    <col min="523" max="524" width="10.7109375" style="1" customWidth="1"/>
    <col min="525" max="526" width="10.42578125" style="1" customWidth="1"/>
    <col min="527" max="527" width="7.140625" style="1" customWidth="1"/>
    <col min="528" max="528" width="12.28515625" style="1" customWidth="1"/>
    <col min="529" max="530" width="7.140625" style="1" customWidth="1"/>
    <col min="531" max="769" width="8.85546875" style="1"/>
    <col min="770" max="770" width="50.28515625" style="1" customWidth="1"/>
    <col min="771" max="771" width="12.5703125" style="1" customWidth="1"/>
    <col min="772" max="776" width="0" style="1" hidden="1" customWidth="1"/>
    <col min="777" max="778" width="9.7109375" style="1" customWidth="1"/>
    <col min="779" max="780" width="10.7109375" style="1" customWidth="1"/>
    <col min="781" max="782" width="10.42578125" style="1" customWidth="1"/>
    <col min="783" max="783" width="7.140625" style="1" customWidth="1"/>
    <col min="784" max="784" width="12.28515625" style="1" customWidth="1"/>
    <col min="785" max="786" width="7.140625" style="1" customWidth="1"/>
    <col min="787" max="1025" width="8.85546875" style="1"/>
    <col min="1026" max="1026" width="50.28515625" style="1" customWidth="1"/>
    <col min="1027" max="1027" width="12.5703125" style="1" customWidth="1"/>
    <col min="1028" max="1032" width="0" style="1" hidden="1" customWidth="1"/>
    <col min="1033" max="1034" width="9.7109375" style="1" customWidth="1"/>
    <col min="1035" max="1036" width="10.7109375" style="1" customWidth="1"/>
    <col min="1037" max="1038" width="10.42578125" style="1" customWidth="1"/>
    <col min="1039" max="1039" width="7.140625" style="1" customWidth="1"/>
    <col min="1040" max="1040" width="12.28515625" style="1" customWidth="1"/>
    <col min="1041" max="1042" width="7.140625" style="1" customWidth="1"/>
    <col min="1043" max="1281" width="8.85546875" style="1"/>
    <col min="1282" max="1282" width="50.28515625" style="1" customWidth="1"/>
    <col min="1283" max="1283" width="12.5703125" style="1" customWidth="1"/>
    <col min="1284" max="1288" width="0" style="1" hidden="1" customWidth="1"/>
    <col min="1289" max="1290" width="9.7109375" style="1" customWidth="1"/>
    <col min="1291" max="1292" width="10.7109375" style="1" customWidth="1"/>
    <col min="1293" max="1294" width="10.42578125" style="1" customWidth="1"/>
    <col min="1295" max="1295" width="7.140625" style="1" customWidth="1"/>
    <col min="1296" max="1296" width="12.28515625" style="1" customWidth="1"/>
    <col min="1297" max="1298" width="7.140625" style="1" customWidth="1"/>
    <col min="1299" max="1537" width="8.85546875" style="1"/>
    <col min="1538" max="1538" width="50.28515625" style="1" customWidth="1"/>
    <col min="1539" max="1539" width="12.5703125" style="1" customWidth="1"/>
    <col min="1540" max="1544" width="0" style="1" hidden="1" customWidth="1"/>
    <col min="1545" max="1546" width="9.7109375" style="1" customWidth="1"/>
    <col min="1547" max="1548" width="10.7109375" style="1" customWidth="1"/>
    <col min="1549" max="1550" width="10.42578125" style="1" customWidth="1"/>
    <col min="1551" max="1551" width="7.140625" style="1" customWidth="1"/>
    <col min="1552" max="1552" width="12.28515625" style="1" customWidth="1"/>
    <col min="1553" max="1554" width="7.140625" style="1" customWidth="1"/>
    <col min="1555" max="1793" width="8.85546875" style="1"/>
    <col min="1794" max="1794" width="50.28515625" style="1" customWidth="1"/>
    <col min="1795" max="1795" width="12.5703125" style="1" customWidth="1"/>
    <col min="1796" max="1800" width="0" style="1" hidden="1" customWidth="1"/>
    <col min="1801" max="1802" width="9.7109375" style="1" customWidth="1"/>
    <col min="1803" max="1804" width="10.7109375" style="1" customWidth="1"/>
    <col min="1805" max="1806" width="10.42578125" style="1" customWidth="1"/>
    <col min="1807" max="1807" width="7.140625" style="1" customWidth="1"/>
    <col min="1808" max="1808" width="12.28515625" style="1" customWidth="1"/>
    <col min="1809" max="1810" width="7.140625" style="1" customWidth="1"/>
    <col min="1811" max="2049" width="8.85546875" style="1"/>
    <col min="2050" max="2050" width="50.28515625" style="1" customWidth="1"/>
    <col min="2051" max="2051" width="12.5703125" style="1" customWidth="1"/>
    <col min="2052" max="2056" width="0" style="1" hidden="1" customWidth="1"/>
    <col min="2057" max="2058" width="9.7109375" style="1" customWidth="1"/>
    <col min="2059" max="2060" width="10.7109375" style="1" customWidth="1"/>
    <col min="2061" max="2062" width="10.42578125" style="1" customWidth="1"/>
    <col min="2063" max="2063" width="7.140625" style="1" customWidth="1"/>
    <col min="2064" max="2064" width="12.28515625" style="1" customWidth="1"/>
    <col min="2065" max="2066" width="7.140625" style="1" customWidth="1"/>
    <col min="2067" max="2305" width="8.85546875" style="1"/>
    <col min="2306" max="2306" width="50.28515625" style="1" customWidth="1"/>
    <col min="2307" max="2307" width="12.5703125" style="1" customWidth="1"/>
    <col min="2308" max="2312" width="0" style="1" hidden="1" customWidth="1"/>
    <col min="2313" max="2314" width="9.7109375" style="1" customWidth="1"/>
    <col min="2315" max="2316" width="10.7109375" style="1" customWidth="1"/>
    <col min="2317" max="2318" width="10.42578125" style="1" customWidth="1"/>
    <col min="2319" max="2319" width="7.140625" style="1" customWidth="1"/>
    <col min="2320" max="2320" width="12.28515625" style="1" customWidth="1"/>
    <col min="2321" max="2322" width="7.140625" style="1" customWidth="1"/>
    <col min="2323" max="2561" width="8.85546875" style="1"/>
    <col min="2562" max="2562" width="50.28515625" style="1" customWidth="1"/>
    <col min="2563" max="2563" width="12.5703125" style="1" customWidth="1"/>
    <col min="2564" max="2568" width="0" style="1" hidden="1" customWidth="1"/>
    <col min="2569" max="2570" width="9.7109375" style="1" customWidth="1"/>
    <col min="2571" max="2572" width="10.7109375" style="1" customWidth="1"/>
    <col min="2573" max="2574" width="10.42578125" style="1" customWidth="1"/>
    <col min="2575" max="2575" width="7.140625" style="1" customWidth="1"/>
    <col min="2576" max="2576" width="12.28515625" style="1" customWidth="1"/>
    <col min="2577" max="2578" width="7.140625" style="1" customWidth="1"/>
    <col min="2579" max="2817" width="8.85546875" style="1"/>
    <col min="2818" max="2818" width="50.28515625" style="1" customWidth="1"/>
    <col min="2819" max="2819" width="12.5703125" style="1" customWidth="1"/>
    <col min="2820" max="2824" width="0" style="1" hidden="1" customWidth="1"/>
    <col min="2825" max="2826" width="9.7109375" style="1" customWidth="1"/>
    <col min="2827" max="2828" width="10.7109375" style="1" customWidth="1"/>
    <col min="2829" max="2830" width="10.42578125" style="1" customWidth="1"/>
    <col min="2831" max="2831" width="7.140625" style="1" customWidth="1"/>
    <col min="2832" max="2832" width="12.28515625" style="1" customWidth="1"/>
    <col min="2833" max="2834" width="7.140625" style="1" customWidth="1"/>
    <col min="2835" max="3073" width="8.85546875" style="1"/>
    <col min="3074" max="3074" width="50.28515625" style="1" customWidth="1"/>
    <col min="3075" max="3075" width="12.5703125" style="1" customWidth="1"/>
    <col min="3076" max="3080" width="0" style="1" hidden="1" customWidth="1"/>
    <col min="3081" max="3082" width="9.7109375" style="1" customWidth="1"/>
    <col min="3083" max="3084" width="10.7109375" style="1" customWidth="1"/>
    <col min="3085" max="3086" width="10.42578125" style="1" customWidth="1"/>
    <col min="3087" max="3087" width="7.140625" style="1" customWidth="1"/>
    <col min="3088" max="3088" width="12.28515625" style="1" customWidth="1"/>
    <col min="3089" max="3090" width="7.140625" style="1" customWidth="1"/>
    <col min="3091" max="3329" width="8.85546875" style="1"/>
    <col min="3330" max="3330" width="50.28515625" style="1" customWidth="1"/>
    <col min="3331" max="3331" width="12.5703125" style="1" customWidth="1"/>
    <col min="3332" max="3336" width="0" style="1" hidden="1" customWidth="1"/>
    <col min="3337" max="3338" width="9.7109375" style="1" customWidth="1"/>
    <col min="3339" max="3340" width="10.7109375" style="1" customWidth="1"/>
    <col min="3341" max="3342" width="10.42578125" style="1" customWidth="1"/>
    <col min="3343" max="3343" width="7.140625" style="1" customWidth="1"/>
    <col min="3344" max="3344" width="12.28515625" style="1" customWidth="1"/>
    <col min="3345" max="3346" width="7.140625" style="1" customWidth="1"/>
    <col min="3347" max="3585" width="8.85546875" style="1"/>
    <col min="3586" max="3586" width="50.28515625" style="1" customWidth="1"/>
    <col min="3587" max="3587" width="12.5703125" style="1" customWidth="1"/>
    <col min="3588" max="3592" width="0" style="1" hidden="1" customWidth="1"/>
    <col min="3593" max="3594" width="9.7109375" style="1" customWidth="1"/>
    <col min="3595" max="3596" width="10.7109375" style="1" customWidth="1"/>
    <col min="3597" max="3598" width="10.42578125" style="1" customWidth="1"/>
    <col min="3599" max="3599" width="7.140625" style="1" customWidth="1"/>
    <col min="3600" max="3600" width="12.28515625" style="1" customWidth="1"/>
    <col min="3601" max="3602" width="7.140625" style="1" customWidth="1"/>
    <col min="3603" max="3841" width="8.85546875" style="1"/>
    <col min="3842" max="3842" width="50.28515625" style="1" customWidth="1"/>
    <col min="3843" max="3843" width="12.5703125" style="1" customWidth="1"/>
    <col min="3844" max="3848" width="0" style="1" hidden="1" customWidth="1"/>
    <col min="3849" max="3850" width="9.7109375" style="1" customWidth="1"/>
    <col min="3851" max="3852" width="10.7109375" style="1" customWidth="1"/>
    <col min="3853" max="3854" width="10.42578125" style="1" customWidth="1"/>
    <col min="3855" max="3855" width="7.140625" style="1" customWidth="1"/>
    <col min="3856" max="3856" width="12.28515625" style="1" customWidth="1"/>
    <col min="3857" max="3858" width="7.140625" style="1" customWidth="1"/>
    <col min="3859" max="4097" width="8.85546875" style="1"/>
    <col min="4098" max="4098" width="50.28515625" style="1" customWidth="1"/>
    <col min="4099" max="4099" width="12.5703125" style="1" customWidth="1"/>
    <col min="4100" max="4104" width="0" style="1" hidden="1" customWidth="1"/>
    <col min="4105" max="4106" width="9.7109375" style="1" customWidth="1"/>
    <col min="4107" max="4108" width="10.7109375" style="1" customWidth="1"/>
    <col min="4109" max="4110" width="10.42578125" style="1" customWidth="1"/>
    <col min="4111" max="4111" width="7.140625" style="1" customWidth="1"/>
    <col min="4112" max="4112" width="12.28515625" style="1" customWidth="1"/>
    <col min="4113" max="4114" width="7.140625" style="1" customWidth="1"/>
    <col min="4115" max="4353" width="8.85546875" style="1"/>
    <col min="4354" max="4354" width="50.28515625" style="1" customWidth="1"/>
    <col min="4355" max="4355" width="12.5703125" style="1" customWidth="1"/>
    <col min="4356" max="4360" width="0" style="1" hidden="1" customWidth="1"/>
    <col min="4361" max="4362" width="9.7109375" style="1" customWidth="1"/>
    <col min="4363" max="4364" width="10.7109375" style="1" customWidth="1"/>
    <col min="4365" max="4366" width="10.42578125" style="1" customWidth="1"/>
    <col min="4367" max="4367" width="7.140625" style="1" customWidth="1"/>
    <col min="4368" max="4368" width="12.28515625" style="1" customWidth="1"/>
    <col min="4369" max="4370" width="7.140625" style="1" customWidth="1"/>
    <col min="4371" max="4609" width="8.85546875" style="1"/>
    <col min="4610" max="4610" width="50.28515625" style="1" customWidth="1"/>
    <col min="4611" max="4611" width="12.5703125" style="1" customWidth="1"/>
    <col min="4612" max="4616" width="0" style="1" hidden="1" customWidth="1"/>
    <col min="4617" max="4618" width="9.7109375" style="1" customWidth="1"/>
    <col min="4619" max="4620" width="10.7109375" style="1" customWidth="1"/>
    <col min="4621" max="4622" width="10.42578125" style="1" customWidth="1"/>
    <col min="4623" max="4623" width="7.140625" style="1" customWidth="1"/>
    <col min="4624" max="4624" width="12.28515625" style="1" customWidth="1"/>
    <col min="4625" max="4626" width="7.140625" style="1" customWidth="1"/>
    <col min="4627" max="4865" width="8.85546875" style="1"/>
    <col min="4866" max="4866" width="50.28515625" style="1" customWidth="1"/>
    <col min="4867" max="4867" width="12.5703125" style="1" customWidth="1"/>
    <col min="4868" max="4872" width="0" style="1" hidden="1" customWidth="1"/>
    <col min="4873" max="4874" width="9.7109375" style="1" customWidth="1"/>
    <col min="4875" max="4876" width="10.7109375" style="1" customWidth="1"/>
    <col min="4877" max="4878" width="10.42578125" style="1" customWidth="1"/>
    <col min="4879" max="4879" width="7.140625" style="1" customWidth="1"/>
    <col min="4880" max="4880" width="12.28515625" style="1" customWidth="1"/>
    <col min="4881" max="4882" width="7.140625" style="1" customWidth="1"/>
    <col min="4883" max="5121" width="8.85546875" style="1"/>
    <col min="5122" max="5122" width="50.28515625" style="1" customWidth="1"/>
    <col min="5123" max="5123" width="12.5703125" style="1" customWidth="1"/>
    <col min="5124" max="5128" width="0" style="1" hidden="1" customWidth="1"/>
    <col min="5129" max="5130" width="9.7109375" style="1" customWidth="1"/>
    <col min="5131" max="5132" width="10.7109375" style="1" customWidth="1"/>
    <col min="5133" max="5134" width="10.42578125" style="1" customWidth="1"/>
    <col min="5135" max="5135" width="7.140625" style="1" customWidth="1"/>
    <col min="5136" max="5136" width="12.28515625" style="1" customWidth="1"/>
    <col min="5137" max="5138" width="7.140625" style="1" customWidth="1"/>
    <col min="5139" max="5377" width="8.85546875" style="1"/>
    <col min="5378" max="5378" width="50.28515625" style="1" customWidth="1"/>
    <col min="5379" max="5379" width="12.5703125" style="1" customWidth="1"/>
    <col min="5380" max="5384" width="0" style="1" hidden="1" customWidth="1"/>
    <col min="5385" max="5386" width="9.7109375" style="1" customWidth="1"/>
    <col min="5387" max="5388" width="10.7109375" style="1" customWidth="1"/>
    <col min="5389" max="5390" width="10.42578125" style="1" customWidth="1"/>
    <col min="5391" max="5391" width="7.140625" style="1" customWidth="1"/>
    <col min="5392" max="5392" width="12.28515625" style="1" customWidth="1"/>
    <col min="5393" max="5394" width="7.140625" style="1" customWidth="1"/>
    <col min="5395" max="5633" width="8.85546875" style="1"/>
    <col min="5634" max="5634" width="50.28515625" style="1" customWidth="1"/>
    <col min="5635" max="5635" width="12.5703125" style="1" customWidth="1"/>
    <col min="5636" max="5640" width="0" style="1" hidden="1" customWidth="1"/>
    <col min="5641" max="5642" width="9.7109375" style="1" customWidth="1"/>
    <col min="5643" max="5644" width="10.7109375" style="1" customWidth="1"/>
    <col min="5645" max="5646" width="10.42578125" style="1" customWidth="1"/>
    <col min="5647" max="5647" width="7.140625" style="1" customWidth="1"/>
    <col min="5648" max="5648" width="12.28515625" style="1" customWidth="1"/>
    <col min="5649" max="5650" width="7.140625" style="1" customWidth="1"/>
    <col min="5651" max="5889" width="8.85546875" style="1"/>
    <col min="5890" max="5890" width="50.28515625" style="1" customWidth="1"/>
    <col min="5891" max="5891" width="12.5703125" style="1" customWidth="1"/>
    <col min="5892" max="5896" width="0" style="1" hidden="1" customWidth="1"/>
    <col min="5897" max="5898" width="9.7109375" style="1" customWidth="1"/>
    <col min="5899" max="5900" width="10.7109375" style="1" customWidth="1"/>
    <col min="5901" max="5902" width="10.42578125" style="1" customWidth="1"/>
    <col min="5903" max="5903" width="7.140625" style="1" customWidth="1"/>
    <col min="5904" max="5904" width="12.28515625" style="1" customWidth="1"/>
    <col min="5905" max="5906" width="7.140625" style="1" customWidth="1"/>
    <col min="5907" max="6145" width="8.85546875" style="1"/>
    <col min="6146" max="6146" width="50.28515625" style="1" customWidth="1"/>
    <col min="6147" max="6147" width="12.5703125" style="1" customWidth="1"/>
    <col min="6148" max="6152" width="0" style="1" hidden="1" customWidth="1"/>
    <col min="6153" max="6154" width="9.7109375" style="1" customWidth="1"/>
    <col min="6155" max="6156" width="10.7109375" style="1" customWidth="1"/>
    <col min="6157" max="6158" width="10.42578125" style="1" customWidth="1"/>
    <col min="6159" max="6159" width="7.140625" style="1" customWidth="1"/>
    <col min="6160" max="6160" width="12.28515625" style="1" customWidth="1"/>
    <col min="6161" max="6162" width="7.140625" style="1" customWidth="1"/>
    <col min="6163" max="6401" width="8.85546875" style="1"/>
    <col min="6402" max="6402" width="50.28515625" style="1" customWidth="1"/>
    <col min="6403" max="6403" width="12.5703125" style="1" customWidth="1"/>
    <col min="6404" max="6408" width="0" style="1" hidden="1" customWidth="1"/>
    <col min="6409" max="6410" width="9.7109375" style="1" customWidth="1"/>
    <col min="6411" max="6412" width="10.7109375" style="1" customWidth="1"/>
    <col min="6413" max="6414" width="10.42578125" style="1" customWidth="1"/>
    <col min="6415" max="6415" width="7.140625" style="1" customWidth="1"/>
    <col min="6416" max="6416" width="12.28515625" style="1" customWidth="1"/>
    <col min="6417" max="6418" width="7.140625" style="1" customWidth="1"/>
    <col min="6419" max="6657" width="8.85546875" style="1"/>
    <col min="6658" max="6658" width="50.28515625" style="1" customWidth="1"/>
    <col min="6659" max="6659" width="12.5703125" style="1" customWidth="1"/>
    <col min="6660" max="6664" width="0" style="1" hidden="1" customWidth="1"/>
    <col min="6665" max="6666" width="9.7109375" style="1" customWidth="1"/>
    <col min="6667" max="6668" width="10.7109375" style="1" customWidth="1"/>
    <col min="6669" max="6670" width="10.42578125" style="1" customWidth="1"/>
    <col min="6671" max="6671" width="7.140625" style="1" customWidth="1"/>
    <col min="6672" max="6672" width="12.28515625" style="1" customWidth="1"/>
    <col min="6673" max="6674" width="7.140625" style="1" customWidth="1"/>
    <col min="6675" max="6913" width="8.85546875" style="1"/>
    <col min="6914" max="6914" width="50.28515625" style="1" customWidth="1"/>
    <col min="6915" max="6915" width="12.5703125" style="1" customWidth="1"/>
    <col min="6916" max="6920" width="0" style="1" hidden="1" customWidth="1"/>
    <col min="6921" max="6922" width="9.7109375" style="1" customWidth="1"/>
    <col min="6923" max="6924" width="10.7109375" style="1" customWidth="1"/>
    <col min="6925" max="6926" width="10.42578125" style="1" customWidth="1"/>
    <col min="6927" max="6927" width="7.140625" style="1" customWidth="1"/>
    <col min="6928" max="6928" width="12.28515625" style="1" customWidth="1"/>
    <col min="6929" max="6930" width="7.140625" style="1" customWidth="1"/>
    <col min="6931" max="7169" width="8.85546875" style="1"/>
    <col min="7170" max="7170" width="50.28515625" style="1" customWidth="1"/>
    <col min="7171" max="7171" width="12.5703125" style="1" customWidth="1"/>
    <col min="7172" max="7176" width="0" style="1" hidden="1" customWidth="1"/>
    <col min="7177" max="7178" width="9.7109375" style="1" customWidth="1"/>
    <col min="7179" max="7180" width="10.7109375" style="1" customWidth="1"/>
    <col min="7181" max="7182" width="10.42578125" style="1" customWidth="1"/>
    <col min="7183" max="7183" width="7.140625" style="1" customWidth="1"/>
    <col min="7184" max="7184" width="12.28515625" style="1" customWidth="1"/>
    <col min="7185" max="7186" width="7.140625" style="1" customWidth="1"/>
    <col min="7187" max="7425" width="8.85546875" style="1"/>
    <col min="7426" max="7426" width="50.28515625" style="1" customWidth="1"/>
    <col min="7427" max="7427" width="12.5703125" style="1" customWidth="1"/>
    <col min="7428" max="7432" width="0" style="1" hidden="1" customWidth="1"/>
    <col min="7433" max="7434" width="9.7109375" style="1" customWidth="1"/>
    <col min="7435" max="7436" width="10.7109375" style="1" customWidth="1"/>
    <col min="7437" max="7438" width="10.42578125" style="1" customWidth="1"/>
    <col min="7439" max="7439" width="7.140625" style="1" customWidth="1"/>
    <col min="7440" max="7440" width="12.28515625" style="1" customWidth="1"/>
    <col min="7441" max="7442" width="7.140625" style="1" customWidth="1"/>
    <col min="7443" max="7681" width="8.85546875" style="1"/>
    <col min="7682" max="7682" width="50.28515625" style="1" customWidth="1"/>
    <col min="7683" max="7683" width="12.5703125" style="1" customWidth="1"/>
    <col min="7684" max="7688" width="0" style="1" hidden="1" customWidth="1"/>
    <col min="7689" max="7690" width="9.7109375" style="1" customWidth="1"/>
    <col min="7691" max="7692" width="10.7109375" style="1" customWidth="1"/>
    <col min="7693" max="7694" width="10.42578125" style="1" customWidth="1"/>
    <col min="7695" max="7695" width="7.140625" style="1" customWidth="1"/>
    <col min="7696" max="7696" width="12.28515625" style="1" customWidth="1"/>
    <col min="7697" max="7698" width="7.140625" style="1" customWidth="1"/>
    <col min="7699" max="7937" width="8.85546875" style="1"/>
    <col min="7938" max="7938" width="50.28515625" style="1" customWidth="1"/>
    <col min="7939" max="7939" width="12.5703125" style="1" customWidth="1"/>
    <col min="7940" max="7944" width="0" style="1" hidden="1" customWidth="1"/>
    <col min="7945" max="7946" width="9.7109375" style="1" customWidth="1"/>
    <col min="7947" max="7948" width="10.7109375" style="1" customWidth="1"/>
    <col min="7949" max="7950" width="10.42578125" style="1" customWidth="1"/>
    <col min="7951" max="7951" width="7.140625" style="1" customWidth="1"/>
    <col min="7952" max="7952" width="12.28515625" style="1" customWidth="1"/>
    <col min="7953" max="7954" width="7.140625" style="1" customWidth="1"/>
    <col min="7955" max="8193" width="8.85546875" style="1"/>
    <col min="8194" max="8194" width="50.28515625" style="1" customWidth="1"/>
    <col min="8195" max="8195" width="12.5703125" style="1" customWidth="1"/>
    <col min="8196" max="8200" width="0" style="1" hidden="1" customWidth="1"/>
    <col min="8201" max="8202" width="9.7109375" style="1" customWidth="1"/>
    <col min="8203" max="8204" width="10.7109375" style="1" customWidth="1"/>
    <col min="8205" max="8206" width="10.42578125" style="1" customWidth="1"/>
    <col min="8207" max="8207" width="7.140625" style="1" customWidth="1"/>
    <col min="8208" max="8208" width="12.28515625" style="1" customWidth="1"/>
    <col min="8209" max="8210" width="7.140625" style="1" customWidth="1"/>
    <col min="8211" max="8449" width="8.85546875" style="1"/>
    <col min="8450" max="8450" width="50.28515625" style="1" customWidth="1"/>
    <col min="8451" max="8451" width="12.5703125" style="1" customWidth="1"/>
    <col min="8452" max="8456" width="0" style="1" hidden="1" customWidth="1"/>
    <col min="8457" max="8458" width="9.7109375" style="1" customWidth="1"/>
    <col min="8459" max="8460" width="10.7109375" style="1" customWidth="1"/>
    <col min="8461" max="8462" width="10.42578125" style="1" customWidth="1"/>
    <col min="8463" max="8463" width="7.140625" style="1" customWidth="1"/>
    <col min="8464" max="8464" width="12.28515625" style="1" customWidth="1"/>
    <col min="8465" max="8466" width="7.140625" style="1" customWidth="1"/>
    <col min="8467" max="8705" width="8.85546875" style="1"/>
    <col min="8706" max="8706" width="50.28515625" style="1" customWidth="1"/>
    <col min="8707" max="8707" width="12.5703125" style="1" customWidth="1"/>
    <col min="8708" max="8712" width="0" style="1" hidden="1" customWidth="1"/>
    <col min="8713" max="8714" width="9.7109375" style="1" customWidth="1"/>
    <col min="8715" max="8716" width="10.7109375" style="1" customWidth="1"/>
    <col min="8717" max="8718" width="10.42578125" style="1" customWidth="1"/>
    <col min="8719" max="8719" width="7.140625" style="1" customWidth="1"/>
    <col min="8720" max="8720" width="12.28515625" style="1" customWidth="1"/>
    <col min="8721" max="8722" width="7.140625" style="1" customWidth="1"/>
    <col min="8723" max="8961" width="8.85546875" style="1"/>
    <col min="8962" max="8962" width="50.28515625" style="1" customWidth="1"/>
    <col min="8963" max="8963" width="12.5703125" style="1" customWidth="1"/>
    <col min="8964" max="8968" width="0" style="1" hidden="1" customWidth="1"/>
    <col min="8969" max="8970" width="9.7109375" style="1" customWidth="1"/>
    <col min="8971" max="8972" width="10.7109375" style="1" customWidth="1"/>
    <col min="8973" max="8974" width="10.42578125" style="1" customWidth="1"/>
    <col min="8975" max="8975" width="7.140625" style="1" customWidth="1"/>
    <col min="8976" max="8976" width="12.28515625" style="1" customWidth="1"/>
    <col min="8977" max="8978" width="7.140625" style="1" customWidth="1"/>
    <col min="8979" max="9217" width="8.85546875" style="1"/>
    <col min="9218" max="9218" width="50.28515625" style="1" customWidth="1"/>
    <col min="9219" max="9219" width="12.5703125" style="1" customWidth="1"/>
    <col min="9220" max="9224" width="0" style="1" hidden="1" customWidth="1"/>
    <col min="9225" max="9226" width="9.7109375" style="1" customWidth="1"/>
    <col min="9227" max="9228" width="10.7109375" style="1" customWidth="1"/>
    <col min="9229" max="9230" width="10.42578125" style="1" customWidth="1"/>
    <col min="9231" max="9231" width="7.140625" style="1" customWidth="1"/>
    <col min="9232" max="9232" width="12.28515625" style="1" customWidth="1"/>
    <col min="9233" max="9234" width="7.140625" style="1" customWidth="1"/>
    <col min="9235" max="9473" width="8.85546875" style="1"/>
    <col min="9474" max="9474" width="50.28515625" style="1" customWidth="1"/>
    <col min="9475" max="9475" width="12.5703125" style="1" customWidth="1"/>
    <col min="9476" max="9480" width="0" style="1" hidden="1" customWidth="1"/>
    <col min="9481" max="9482" width="9.7109375" style="1" customWidth="1"/>
    <col min="9483" max="9484" width="10.7109375" style="1" customWidth="1"/>
    <col min="9485" max="9486" width="10.42578125" style="1" customWidth="1"/>
    <col min="9487" max="9487" width="7.140625" style="1" customWidth="1"/>
    <col min="9488" max="9488" width="12.28515625" style="1" customWidth="1"/>
    <col min="9489" max="9490" width="7.140625" style="1" customWidth="1"/>
    <col min="9491" max="9729" width="8.85546875" style="1"/>
    <col min="9730" max="9730" width="50.28515625" style="1" customWidth="1"/>
    <col min="9731" max="9731" width="12.5703125" style="1" customWidth="1"/>
    <col min="9732" max="9736" width="0" style="1" hidden="1" customWidth="1"/>
    <col min="9737" max="9738" width="9.7109375" style="1" customWidth="1"/>
    <col min="9739" max="9740" width="10.7109375" style="1" customWidth="1"/>
    <col min="9741" max="9742" width="10.42578125" style="1" customWidth="1"/>
    <col min="9743" max="9743" width="7.140625" style="1" customWidth="1"/>
    <col min="9744" max="9744" width="12.28515625" style="1" customWidth="1"/>
    <col min="9745" max="9746" width="7.140625" style="1" customWidth="1"/>
    <col min="9747" max="9985" width="8.85546875" style="1"/>
    <col min="9986" max="9986" width="50.28515625" style="1" customWidth="1"/>
    <col min="9987" max="9987" width="12.5703125" style="1" customWidth="1"/>
    <col min="9988" max="9992" width="0" style="1" hidden="1" customWidth="1"/>
    <col min="9993" max="9994" width="9.7109375" style="1" customWidth="1"/>
    <col min="9995" max="9996" width="10.7109375" style="1" customWidth="1"/>
    <col min="9997" max="9998" width="10.42578125" style="1" customWidth="1"/>
    <col min="9999" max="9999" width="7.140625" style="1" customWidth="1"/>
    <col min="10000" max="10000" width="12.28515625" style="1" customWidth="1"/>
    <col min="10001" max="10002" width="7.140625" style="1" customWidth="1"/>
    <col min="10003" max="10241" width="8.85546875" style="1"/>
    <col min="10242" max="10242" width="50.28515625" style="1" customWidth="1"/>
    <col min="10243" max="10243" width="12.5703125" style="1" customWidth="1"/>
    <col min="10244" max="10248" width="0" style="1" hidden="1" customWidth="1"/>
    <col min="10249" max="10250" width="9.7109375" style="1" customWidth="1"/>
    <col min="10251" max="10252" width="10.7109375" style="1" customWidth="1"/>
    <col min="10253" max="10254" width="10.42578125" style="1" customWidth="1"/>
    <col min="10255" max="10255" width="7.140625" style="1" customWidth="1"/>
    <col min="10256" max="10256" width="12.28515625" style="1" customWidth="1"/>
    <col min="10257" max="10258" width="7.140625" style="1" customWidth="1"/>
    <col min="10259" max="10497" width="8.85546875" style="1"/>
    <col min="10498" max="10498" width="50.28515625" style="1" customWidth="1"/>
    <col min="10499" max="10499" width="12.5703125" style="1" customWidth="1"/>
    <col min="10500" max="10504" width="0" style="1" hidden="1" customWidth="1"/>
    <col min="10505" max="10506" width="9.7109375" style="1" customWidth="1"/>
    <col min="10507" max="10508" width="10.7109375" style="1" customWidth="1"/>
    <col min="10509" max="10510" width="10.42578125" style="1" customWidth="1"/>
    <col min="10511" max="10511" width="7.140625" style="1" customWidth="1"/>
    <col min="10512" max="10512" width="12.28515625" style="1" customWidth="1"/>
    <col min="10513" max="10514" width="7.140625" style="1" customWidth="1"/>
    <col min="10515" max="10753" width="8.85546875" style="1"/>
    <col min="10754" max="10754" width="50.28515625" style="1" customWidth="1"/>
    <col min="10755" max="10755" width="12.5703125" style="1" customWidth="1"/>
    <col min="10756" max="10760" width="0" style="1" hidden="1" customWidth="1"/>
    <col min="10761" max="10762" width="9.7109375" style="1" customWidth="1"/>
    <col min="10763" max="10764" width="10.7109375" style="1" customWidth="1"/>
    <col min="10765" max="10766" width="10.42578125" style="1" customWidth="1"/>
    <col min="10767" max="10767" width="7.140625" style="1" customWidth="1"/>
    <col min="10768" max="10768" width="12.28515625" style="1" customWidth="1"/>
    <col min="10769" max="10770" width="7.140625" style="1" customWidth="1"/>
    <col min="10771" max="11009" width="8.85546875" style="1"/>
    <col min="11010" max="11010" width="50.28515625" style="1" customWidth="1"/>
    <col min="11011" max="11011" width="12.5703125" style="1" customWidth="1"/>
    <col min="11012" max="11016" width="0" style="1" hidden="1" customWidth="1"/>
    <col min="11017" max="11018" width="9.7109375" style="1" customWidth="1"/>
    <col min="11019" max="11020" width="10.7109375" style="1" customWidth="1"/>
    <col min="11021" max="11022" width="10.42578125" style="1" customWidth="1"/>
    <col min="11023" max="11023" width="7.140625" style="1" customWidth="1"/>
    <col min="11024" max="11024" width="12.28515625" style="1" customWidth="1"/>
    <col min="11025" max="11026" width="7.140625" style="1" customWidth="1"/>
    <col min="11027" max="11265" width="8.85546875" style="1"/>
    <col min="11266" max="11266" width="50.28515625" style="1" customWidth="1"/>
    <col min="11267" max="11267" width="12.5703125" style="1" customWidth="1"/>
    <col min="11268" max="11272" width="0" style="1" hidden="1" customWidth="1"/>
    <col min="11273" max="11274" width="9.7109375" style="1" customWidth="1"/>
    <col min="11275" max="11276" width="10.7109375" style="1" customWidth="1"/>
    <col min="11277" max="11278" width="10.42578125" style="1" customWidth="1"/>
    <col min="11279" max="11279" width="7.140625" style="1" customWidth="1"/>
    <col min="11280" max="11280" width="12.28515625" style="1" customWidth="1"/>
    <col min="11281" max="11282" width="7.140625" style="1" customWidth="1"/>
    <col min="11283" max="11521" width="8.85546875" style="1"/>
    <col min="11522" max="11522" width="50.28515625" style="1" customWidth="1"/>
    <col min="11523" max="11523" width="12.5703125" style="1" customWidth="1"/>
    <col min="11524" max="11528" width="0" style="1" hidden="1" customWidth="1"/>
    <col min="11529" max="11530" width="9.7109375" style="1" customWidth="1"/>
    <col min="11531" max="11532" width="10.7109375" style="1" customWidth="1"/>
    <col min="11533" max="11534" width="10.42578125" style="1" customWidth="1"/>
    <col min="11535" max="11535" width="7.140625" style="1" customWidth="1"/>
    <col min="11536" max="11536" width="12.28515625" style="1" customWidth="1"/>
    <col min="11537" max="11538" width="7.140625" style="1" customWidth="1"/>
    <col min="11539" max="11777" width="8.85546875" style="1"/>
    <col min="11778" max="11778" width="50.28515625" style="1" customWidth="1"/>
    <col min="11779" max="11779" width="12.5703125" style="1" customWidth="1"/>
    <col min="11780" max="11784" width="0" style="1" hidden="1" customWidth="1"/>
    <col min="11785" max="11786" width="9.7109375" style="1" customWidth="1"/>
    <col min="11787" max="11788" width="10.7109375" style="1" customWidth="1"/>
    <col min="11789" max="11790" width="10.42578125" style="1" customWidth="1"/>
    <col min="11791" max="11791" width="7.140625" style="1" customWidth="1"/>
    <col min="11792" max="11792" width="12.28515625" style="1" customWidth="1"/>
    <col min="11793" max="11794" width="7.140625" style="1" customWidth="1"/>
    <col min="11795" max="12033" width="8.85546875" style="1"/>
    <col min="12034" max="12034" width="50.28515625" style="1" customWidth="1"/>
    <col min="12035" max="12035" width="12.5703125" style="1" customWidth="1"/>
    <col min="12036" max="12040" width="0" style="1" hidden="1" customWidth="1"/>
    <col min="12041" max="12042" width="9.7109375" style="1" customWidth="1"/>
    <col min="12043" max="12044" width="10.7109375" style="1" customWidth="1"/>
    <col min="12045" max="12046" width="10.42578125" style="1" customWidth="1"/>
    <col min="12047" max="12047" width="7.140625" style="1" customWidth="1"/>
    <col min="12048" max="12048" width="12.28515625" style="1" customWidth="1"/>
    <col min="12049" max="12050" width="7.140625" style="1" customWidth="1"/>
    <col min="12051" max="12289" width="8.85546875" style="1"/>
    <col min="12290" max="12290" width="50.28515625" style="1" customWidth="1"/>
    <col min="12291" max="12291" width="12.5703125" style="1" customWidth="1"/>
    <col min="12292" max="12296" width="0" style="1" hidden="1" customWidth="1"/>
    <col min="12297" max="12298" width="9.7109375" style="1" customWidth="1"/>
    <col min="12299" max="12300" width="10.7109375" style="1" customWidth="1"/>
    <col min="12301" max="12302" width="10.42578125" style="1" customWidth="1"/>
    <col min="12303" max="12303" width="7.140625" style="1" customWidth="1"/>
    <col min="12304" max="12304" width="12.28515625" style="1" customWidth="1"/>
    <col min="12305" max="12306" width="7.140625" style="1" customWidth="1"/>
    <col min="12307" max="12545" width="8.85546875" style="1"/>
    <col min="12546" max="12546" width="50.28515625" style="1" customWidth="1"/>
    <col min="12547" max="12547" width="12.5703125" style="1" customWidth="1"/>
    <col min="12548" max="12552" width="0" style="1" hidden="1" customWidth="1"/>
    <col min="12553" max="12554" width="9.7109375" style="1" customWidth="1"/>
    <col min="12555" max="12556" width="10.7109375" style="1" customWidth="1"/>
    <col min="12557" max="12558" width="10.42578125" style="1" customWidth="1"/>
    <col min="12559" max="12559" width="7.140625" style="1" customWidth="1"/>
    <col min="12560" max="12560" width="12.28515625" style="1" customWidth="1"/>
    <col min="12561" max="12562" width="7.140625" style="1" customWidth="1"/>
    <col min="12563" max="12801" width="8.85546875" style="1"/>
    <col min="12802" max="12802" width="50.28515625" style="1" customWidth="1"/>
    <col min="12803" max="12803" width="12.5703125" style="1" customWidth="1"/>
    <col min="12804" max="12808" width="0" style="1" hidden="1" customWidth="1"/>
    <col min="12809" max="12810" width="9.7109375" style="1" customWidth="1"/>
    <col min="12811" max="12812" width="10.7109375" style="1" customWidth="1"/>
    <col min="12813" max="12814" width="10.42578125" style="1" customWidth="1"/>
    <col min="12815" max="12815" width="7.140625" style="1" customWidth="1"/>
    <col min="12816" max="12816" width="12.28515625" style="1" customWidth="1"/>
    <col min="12817" max="12818" width="7.140625" style="1" customWidth="1"/>
    <col min="12819" max="13057" width="8.85546875" style="1"/>
    <col min="13058" max="13058" width="50.28515625" style="1" customWidth="1"/>
    <col min="13059" max="13059" width="12.5703125" style="1" customWidth="1"/>
    <col min="13060" max="13064" width="0" style="1" hidden="1" customWidth="1"/>
    <col min="13065" max="13066" width="9.7109375" style="1" customWidth="1"/>
    <col min="13067" max="13068" width="10.7109375" style="1" customWidth="1"/>
    <col min="13069" max="13070" width="10.42578125" style="1" customWidth="1"/>
    <col min="13071" max="13071" width="7.140625" style="1" customWidth="1"/>
    <col min="13072" max="13072" width="12.28515625" style="1" customWidth="1"/>
    <col min="13073" max="13074" width="7.140625" style="1" customWidth="1"/>
    <col min="13075" max="13313" width="8.85546875" style="1"/>
    <col min="13314" max="13314" width="50.28515625" style="1" customWidth="1"/>
    <col min="13315" max="13315" width="12.5703125" style="1" customWidth="1"/>
    <col min="13316" max="13320" width="0" style="1" hidden="1" customWidth="1"/>
    <col min="13321" max="13322" width="9.7109375" style="1" customWidth="1"/>
    <col min="13323" max="13324" width="10.7109375" style="1" customWidth="1"/>
    <col min="13325" max="13326" width="10.42578125" style="1" customWidth="1"/>
    <col min="13327" max="13327" width="7.140625" style="1" customWidth="1"/>
    <col min="13328" max="13328" width="12.28515625" style="1" customWidth="1"/>
    <col min="13329" max="13330" width="7.140625" style="1" customWidth="1"/>
    <col min="13331" max="13569" width="8.85546875" style="1"/>
    <col min="13570" max="13570" width="50.28515625" style="1" customWidth="1"/>
    <col min="13571" max="13571" width="12.5703125" style="1" customWidth="1"/>
    <col min="13572" max="13576" width="0" style="1" hidden="1" customWidth="1"/>
    <col min="13577" max="13578" width="9.7109375" style="1" customWidth="1"/>
    <col min="13579" max="13580" width="10.7109375" style="1" customWidth="1"/>
    <col min="13581" max="13582" width="10.42578125" style="1" customWidth="1"/>
    <col min="13583" max="13583" width="7.140625" style="1" customWidth="1"/>
    <col min="13584" max="13584" width="12.28515625" style="1" customWidth="1"/>
    <col min="13585" max="13586" width="7.140625" style="1" customWidth="1"/>
    <col min="13587" max="13825" width="8.85546875" style="1"/>
    <col min="13826" max="13826" width="50.28515625" style="1" customWidth="1"/>
    <col min="13827" max="13827" width="12.5703125" style="1" customWidth="1"/>
    <col min="13828" max="13832" width="0" style="1" hidden="1" customWidth="1"/>
    <col min="13833" max="13834" width="9.7109375" style="1" customWidth="1"/>
    <col min="13835" max="13836" width="10.7109375" style="1" customWidth="1"/>
    <col min="13837" max="13838" width="10.42578125" style="1" customWidth="1"/>
    <col min="13839" max="13839" width="7.140625" style="1" customWidth="1"/>
    <col min="13840" max="13840" width="12.28515625" style="1" customWidth="1"/>
    <col min="13841" max="13842" width="7.140625" style="1" customWidth="1"/>
    <col min="13843" max="14081" width="8.85546875" style="1"/>
    <col min="14082" max="14082" width="50.28515625" style="1" customWidth="1"/>
    <col min="14083" max="14083" width="12.5703125" style="1" customWidth="1"/>
    <col min="14084" max="14088" width="0" style="1" hidden="1" customWidth="1"/>
    <col min="14089" max="14090" width="9.7109375" style="1" customWidth="1"/>
    <col min="14091" max="14092" width="10.7109375" style="1" customWidth="1"/>
    <col min="14093" max="14094" width="10.42578125" style="1" customWidth="1"/>
    <col min="14095" max="14095" width="7.140625" style="1" customWidth="1"/>
    <col min="14096" max="14096" width="12.28515625" style="1" customWidth="1"/>
    <col min="14097" max="14098" width="7.140625" style="1" customWidth="1"/>
    <col min="14099" max="14337" width="8.85546875" style="1"/>
    <col min="14338" max="14338" width="50.28515625" style="1" customWidth="1"/>
    <col min="14339" max="14339" width="12.5703125" style="1" customWidth="1"/>
    <col min="14340" max="14344" width="0" style="1" hidden="1" customWidth="1"/>
    <col min="14345" max="14346" width="9.7109375" style="1" customWidth="1"/>
    <col min="14347" max="14348" width="10.7109375" style="1" customWidth="1"/>
    <col min="14349" max="14350" width="10.42578125" style="1" customWidth="1"/>
    <col min="14351" max="14351" width="7.140625" style="1" customWidth="1"/>
    <col min="14352" max="14352" width="12.28515625" style="1" customWidth="1"/>
    <col min="14353" max="14354" width="7.140625" style="1" customWidth="1"/>
    <col min="14355" max="14593" width="8.85546875" style="1"/>
    <col min="14594" max="14594" width="50.28515625" style="1" customWidth="1"/>
    <col min="14595" max="14595" width="12.5703125" style="1" customWidth="1"/>
    <col min="14596" max="14600" width="0" style="1" hidden="1" customWidth="1"/>
    <col min="14601" max="14602" width="9.7109375" style="1" customWidth="1"/>
    <col min="14603" max="14604" width="10.7109375" style="1" customWidth="1"/>
    <col min="14605" max="14606" width="10.42578125" style="1" customWidth="1"/>
    <col min="14607" max="14607" width="7.140625" style="1" customWidth="1"/>
    <col min="14608" max="14608" width="12.28515625" style="1" customWidth="1"/>
    <col min="14609" max="14610" width="7.140625" style="1" customWidth="1"/>
    <col min="14611" max="14849" width="8.85546875" style="1"/>
    <col min="14850" max="14850" width="50.28515625" style="1" customWidth="1"/>
    <col min="14851" max="14851" width="12.5703125" style="1" customWidth="1"/>
    <col min="14852" max="14856" width="0" style="1" hidden="1" customWidth="1"/>
    <col min="14857" max="14858" width="9.7109375" style="1" customWidth="1"/>
    <col min="14859" max="14860" width="10.7109375" style="1" customWidth="1"/>
    <col min="14861" max="14862" width="10.42578125" style="1" customWidth="1"/>
    <col min="14863" max="14863" width="7.140625" style="1" customWidth="1"/>
    <col min="14864" max="14864" width="12.28515625" style="1" customWidth="1"/>
    <col min="14865" max="14866" width="7.140625" style="1" customWidth="1"/>
    <col min="14867" max="15105" width="8.85546875" style="1"/>
    <col min="15106" max="15106" width="50.28515625" style="1" customWidth="1"/>
    <col min="15107" max="15107" width="12.5703125" style="1" customWidth="1"/>
    <col min="15108" max="15112" width="0" style="1" hidden="1" customWidth="1"/>
    <col min="15113" max="15114" width="9.7109375" style="1" customWidth="1"/>
    <col min="15115" max="15116" width="10.7109375" style="1" customWidth="1"/>
    <col min="15117" max="15118" width="10.42578125" style="1" customWidth="1"/>
    <col min="15119" max="15119" width="7.140625" style="1" customWidth="1"/>
    <col min="15120" max="15120" width="12.28515625" style="1" customWidth="1"/>
    <col min="15121" max="15122" width="7.140625" style="1" customWidth="1"/>
    <col min="15123" max="15361" width="8.85546875" style="1"/>
    <col min="15362" max="15362" width="50.28515625" style="1" customWidth="1"/>
    <col min="15363" max="15363" width="12.5703125" style="1" customWidth="1"/>
    <col min="15364" max="15368" width="0" style="1" hidden="1" customWidth="1"/>
    <col min="15369" max="15370" width="9.7109375" style="1" customWidth="1"/>
    <col min="15371" max="15372" width="10.7109375" style="1" customWidth="1"/>
    <col min="15373" max="15374" width="10.42578125" style="1" customWidth="1"/>
    <col min="15375" max="15375" width="7.140625" style="1" customWidth="1"/>
    <col min="15376" max="15376" width="12.28515625" style="1" customWidth="1"/>
    <col min="15377" max="15378" width="7.140625" style="1" customWidth="1"/>
    <col min="15379" max="15617" width="8.85546875" style="1"/>
    <col min="15618" max="15618" width="50.28515625" style="1" customWidth="1"/>
    <col min="15619" max="15619" width="12.5703125" style="1" customWidth="1"/>
    <col min="15620" max="15624" width="0" style="1" hidden="1" customWidth="1"/>
    <col min="15625" max="15626" width="9.7109375" style="1" customWidth="1"/>
    <col min="15627" max="15628" width="10.7109375" style="1" customWidth="1"/>
    <col min="15629" max="15630" width="10.42578125" style="1" customWidth="1"/>
    <col min="15631" max="15631" width="7.140625" style="1" customWidth="1"/>
    <col min="15632" max="15632" width="12.28515625" style="1" customWidth="1"/>
    <col min="15633" max="15634" width="7.140625" style="1" customWidth="1"/>
    <col min="15635" max="15873" width="8.85546875" style="1"/>
    <col min="15874" max="15874" width="50.28515625" style="1" customWidth="1"/>
    <col min="15875" max="15875" width="12.5703125" style="1" customWidth="1"/>
    <col min="15876" max="15880" width="0" style="1" hidden="1" customWidth="1"/>
    <col min="15881" max="15882" width="9.7109375" style="1" customWidth="1"/>
    <col min="15883" max="15884" width="10.7109375" style="1" customWidth="1"/>
    <col min="15885" max="15886" width="10.42578125" style="1" customWidth="1"/>
    <col min="15887" max="15887" width="7.140625" style="1" customWidth="1"/>
    <col min="15888" max="15888" width="12.28515625" style="1" customWidth="1"/>
    <col min="15889" max="15890" width="7.140625" style="1" customWidth="1"/>
    <col min="15891" max="16129" width="8.85546875" style="1"/>
    <col min="16130" max="16130" width="50.28515625" style="1" customWidth="1"/>
    <col min="16131" max="16131" width="12.5703125" style="1" customWidth="1"/>
    <col min="16132" max="16136" width="0" style="1" hidden="1" customWidth="1"/>
    <col min="16137" max="16138" width="9.7109375" style="1" customWidth="1"/>
    <col min="16139" max="16140" width="10.7109375" style="1" customWidth="1"/>
    <col min="16141" max="16142" width="10.42578125" style="1" customWidth="1"/>
    <col min="16143" max="16143" width="7.140625" style="1" customWidth="1"/>
    <col min="16144" max="16144" width="12.28515625" style="1" customWidth="1"/>
    <col min="16145" max="16146" width="7.140625" style="1" customWidth="1"/>
    <col min="16147" max="16384" width="8.85546875" style="1"/>
  </cols>
  <sheetData>
    <row r="1" spans="1:14" ht="35.25" customHeight="1">
      <c r="A1" s="361" t="s">
        <v>220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ht="31.5">
      <c r="A2" s="362" t="s">
        <v>2</v>
      </c>
      <c r="B2" s="365" t="s">
        <v>3</v>
      </c>
      <c r="C2" s="2" t="s">
        <v>4</v>
      </c>
      <c r="D2" s="3" t="s">
        <v>5</v>
      </c>
      <c r="E2" s="4" t="s">
        <v>6</v>
      </c>
      <c r="F2" s="3" t="s">
        <v>7</v>
      </c>
      <c r="G2" s="5" t="s">
        <v>8</v>
      </c>
      <c r="H2" s="376" t="s">
        <v>8</v>
      </c>
      <c r="I2" s="376"/>
      <c r="J2" s="376"/>
      <c r="K2" s="212" t="s">
        <v>9</v>
      </c>
      <c r="L2" s="368" t="s">
        <v>10</v>
      </c>
      <c r="M2" s="369"/>
      <c r="N2" s="370"/>
    </row>
    <row r="3" spans="1:14">
      <c r="A3" s="363"/>
      <c r="B3" s="366"/>
      <c r="C3" s="6"/>
      <c r="D3" s="7"/>
      <c r="E3" s="8"/>
      <c r="F3" s="6"/>
      <c r="G3" s="362">
        <v>2011</v>
      </c>
      <c r="H3" s="371">
        <v>2013</v>
      </c>
      <c r="I3" s="372">
        <v>2014</v>
      </c>
      <c r="J3" s="371">
        <v>2015</v>
      </c>
      <c r="K3" s="374">
        <v>2016</v>
      </c>
      <c r="L3" s="376">
        <v>2017</v>
      </c>
      <c r="M3" s="359">
        <v>2018</v>
      </c>
      <c r="N3" s="359">
        <v>2019</v>
      </c>
    </row>
    <row r="4" spans="1:14">
      <c r="A4" s="364"/>
      <c r="B4" s="367"/>
      <c r="C4" s="6"/>
      <c r="D4" s="7"/>
      <c r="E4" s="8"/>
      <c r="F4" s="6"/>
      <c r="G4" s="364"/>
      <c r="H4" s="371"/>
      <c r="I4" s="373"/>
      <c r="J4" s="371"/>
      <c r="K4" s="375"/>
      <c r="L4" s="376"/>
      <c r="M4" s="359"/>
      <c r="N4" s="359"/>
    </row>
    <row r="5" spans="1:14" ht="15">
      <c r="A5" s="9" t="s">
        <v>11</v>
      </c>
      <c r="B5" s="10"/>
      <c r="C5" s="11"/>
      <c r="D5" s="12"/>
      <c r="E5" s="12"/>
      <c r="F5" s="12"/>
      <c r="G5" s="13"/>
      <c r="H5" s="18"/>
      <c r="I5" s="18"/>
      <c r="J5" s="41"/>
      <c r="K5" s="41"/>
      <c r="L5" s="18"/>
      <c r="M5" s="18"/>
      <c r="N5" s="41"/>
    </row>
    <row r="6" spans="1:14" ht="21.6" customHeight="1">
      <c r="A6" s="14" t="s">
        <v>12</v>
      </c>
      <c r="B6" s="15" t="s">
        <v>13</v>
      </c>
      <c r="C6" s="16">
        <v>1</v>
      </c>
      <c r="D6" s="17"/>
      <c r="E6" s="17"/>
      <c r="F6" s="17"/>
      <c r="G6" s="18">
        <v>63.08</v>
      </c>
      <c r="H6" s="19">
        <v>65.83</v>
      </c>
      <c r="I6" s="19">
        <v>67.22</v>
      </c>
      <c r="J6" s="19">
        <v>68.42</v>
      </c>
      <c r="K6" s="19">
        <f>J6+1.3</f>
        <v>69.72</v>
      </c>
      <c r="L6" s="19">
        <f>K6+1.4</f>
        <v>71.12</v>
      </c>
      <c r="M6" s="19">
        <f>L6+1.4</f>
        <v>72.52000000000001</v>
      </c>
      <c r="N6" s="215">
        <f>M6+1.3</f>
        <v>73.820000000000007</v>
      </c>
    </row>
    <row r="7" spans="1:14" ht="15" customHeight="1">
      <c r="A7" s="14" t="s">
        <v>14</v>
      </c>
      <c r="B7" s="20" t="s">
        <v>15</v>
      </c>
      <c r="C7" s="16"/>
      <c r="D7" s="17"/>
      <c r="E7" s="17"/>
      <c r="F7" s="17"/>
      <c r="G7" s="18"/>
      <c r="H7" s="21">
        <f t="shared" ref="H7:J7" si="0">H6/G6*100</f>
        <v>104.35954343690553</v>
      </c>
      <c r="I7" s="21">
        <f>I6/H6*100</f>
        <v>102.11149931642109</v>
      </c>
      <c r="J7" s="21">
        <f t="shared" si="0"/>
        <v>101.78518298125559</v>
      </c>
      <c r="K7" s="21">
        <f>K6/J6*100</f>
        <v>101.90002923121895</v>
      </c>
      <c r="L7" s="21">
        <f t="shared" ref="L7" si="1">L6/K6*100</f>
        <v>102.00803212851406</v>
      </c>
      <c r="M7" s="21">
        <f t="shared" ref="M7" si="2">M6/L6*100</f>
        <v>101.9685039370079</v>
      </c>
      <c r="N7" s="21">
        <f t="shared" ref="N7" si="3">N6/M6*100</f>
        <v>101.79260893546606</v>
      </c>
    </row>
    <row r="8" spans="1:14" ht="15" customHeight="1">
      <c r="A8" s="14" t="s">
        <v>16</v>
      </c>
      <c r="B8" s="20" t="s">
        <v>15</v>
      </c>
      <c r="C8" s="16"/>
      <c r="D8" s="17"/>
      <c r="E8" s="17"/>
      <c r="F8" s="17"/>
      <c r="G8" s="18"/>
      <c r="H8" s="19"/>
      <c r="I8" s="19"/>
      <c r="J8" s="19"/>
      <c r="K8" s="19"/>
      <c r="L8" s="19"/>
      <c r="M8" s="19"/>
      <c r="N8" s="19"/>
    </row>
    <row r="9" spans="1:14" ht="15">
      <c r="A9" s="22" t="s">
        <v>17</v>
      </c>
      <c r="B9" s="20"/>
      <c r="C9" s="16"/>
      <c r="D9" s="17"/>
      <c r="E9" s="17"/>
      <c r="F9" s="17"/>
      <c r="G9" s="23"/>
      <c r="H9" s="19"/>
      <c r="I9" s="19"/>
      <c r="J9" s="19"/>
      <c r="K9" s="19"/>
      <c r="L9" s="19"/>
      <c r="M9" s="19"/>
      <c r="N9" s="19"/>
    </row>
    <row r="10" spans="1:14" ht="23.25" customHeight="1">
      <c r="A10" s="24" t="s">
        <v>18</v>
      </c>
      <c r="B10" s="25"/>
      <c r="C10" s="16"/>
      <c r="D10" s="17"/>
      <c r="E10" s="17"/>
      <c r="F10" s="17"/>
      <c r="G10" s="25"/>
      <c r="H10" s="26" t="s">
        <v>19</v>
      </c>
      <c r="I10" s="27"/>
      <c r="J10" s="27"/>
      <c r="K10" s="27"/>
      <c r="L10" s="27"/>
      <c r="M10" s="27"/>
      <c r="N10" s="28"/>
    </row>
    <row r="11" spans="1:14" ht="24">
      <c r="A11" s="29" t="s">
        <v>20</v>
      </c>
      <c r="B11" s="15" t="s">
        <v>21</v>
      </c>
      <c r="C11" s="16"/>
      <c r="D11" s="17"/>
      <c r="E11" s="17"/>
      <c r="F11" s="17"/>
      <c r="G11" s="18"/>
      <c r="H11" s="19"/>
      <c r="I11" s="19"/>
      <c r="J11" s="19"/>
      <c r="K11" s="19"/>
      <c r="L11" s="19"/>
      <c r="M11" s="19"/>
      <c r="N11" s="19"/>
    </row>
    <row r="12" spans="1:14" ht="12.75">
      <c r="A12" s="14" t="s">
        <v>14</v>
      </c>
      <c r="B12" s="20" t="s">
        <v>15</v>
      </c>
      <c r="C12" s="16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19"/>
    </row>
    <row r="13" spans="1:14" ht="12.75">
      <c r="A13" s="14" t="s">
        <v>16</v>
      </c>
      <c r="B13" s="20" t="s">
        <v>15</v>
      </c>
      <c r="C13" s="16"/>
      <c r="D13" s="17"/>
      <c r="E13" s="17"/>
      <c r="F13" s="17"/>
      <c r="G13" s="18"/>
      <c r="H13" s="19"/>
      <c r="I13" s="19"/>
      <c r="J13" s="19"/>
      <c r="K13" s="19"/>
      <c r="L13" s="19"/>
      <c r="M13" s="19"/>
      <c r="N13" s="19"/>
    </row>
    <row r="14" spans="1:14" ht="14.25">
      <c r="A14" s="30" t="s">
        <v>22</v>
      </c>
      <c r="B14" s="20"/>
      <c r="C14" s="16"/>
      <c r="D14" s="17"/>
      <c r="E14" s="17"/>
      <c r="F14" s="17"/>
      <c r="G14" s="18"/>
      <c r="H14" s="19"/>
      <c r="I14" s="19"/>
      <c r="J14" s="19"/>
      <c r="K14" s="19"/>
      <c r="L14" s="19"/>
      <c r="M14" s="19"/>
      <c r="N14" s="19"/>
    </row>
    <row r="15" spans="1:14" ht="29.25" customHeight="1">
      <c r="A15" s="14" t="s">
        <v>23</v>
      </c>
      <c r="B15" s="20" t="s">
        <v>24</v>
      </c>
      <c r="C15" s="16">
        <v>1</v>
      </c>
      <c r="D15" s="17"/>
      <c r="E15" s="17"/>
      <c r="F15" s="17"/>
      <c r="G15" s="18"/>
      <c r="H15" s="19"/>
      <c r="I15" s="19"/>
      <c r="J15" s="19"/>
      <c r="K15" s="19"/>
      <c r="L15" s="19"/>
      <c r="M15" s="19"/>
      <c r="N15" s="19"/>
    </row>
    <row r="16" spans="1:14" ht="14.25">
      <c r="A16" s="30" t="s">
        <v>25</v>
      </c>
      <c r="B16" s="20"/>
      <c r="C16" s="16"/>
      <c r="D16" s="31"/>
      <c r="E16" s="31"/>
      <c r="F16" s="31"/>
      <c r="G16" s="32"/>
      <c r="H16" s="19"/>
      <c r="I16" s="19"/>
      <c r="J16" s="19"/>
      <c r="K16" s="19"/>
      <c r="L16" s="19"/>
      <c r="M16" s="19"/>
      <c r="N16" s="19"/>
    </row>
    <row r="17" spans="1:17" ht="14.25">
      <c r="A17" s="33" t="s">
        <v>26</v>
      </c>
      <c r="B17" s="34"/>
      <c r="C17" s="16"/>
      <c r="D17" s="31"/>
      <c r="E17" s="31"/>
      <c r="F17" s="31"/>
      <c r="G17" s="35"/>
      <c r="H17" s="19"/>
      <c r="I17" s="19"/>
      <c r="J17" s="19"/>
      <c r="K17" s="19"/>
      <c r="L17" s="19"/>
      <c r="M17" s="19"/>
      <c r="N17" s="19"/>
    </row>
    <row r="18" spans="1:17" ht="31.5">
      <c r="A18" s="36" t="s">
        <v>27</v>
      </c>
      <c r="B18" s="15" t="s">
        <v>21</v>
      </c>
      <c r="C18" s="16">
        <v>1</v>
      </c>
      <c r="D18" s="31"/>
      <c r="E18" s="31"/>
      <c r="F18" s="31"/>
      <c r="G18" s="18">
        <v>784.19</v>
      </c>
      <c r="H18" s="19">
        <v>998.81</v>
      </c>
      <c r="I18" s="19">
        <v>1215.0999999999999</v>
      </c>
      <c r="J18" s="19">
        <v>1419.8</v>
      </c>
      <c r="K18" s="219">
        <v>1595</v>
      </c>
      <c r="L18" s="219">
        <v>1788</v>
      </c>
      <c r="M18" s="219">
        <v>2001</v>
      </c>
      <c r="N18" s="219">
        <v>2237</v>
      </c>
      <c r="O18" s="37"/>
      <c r="P18" s="37"/>
      <c r="Q18" s="37"/>
    </row>
    <row r="19" spans="1:17" ht="12.75">
      <c r="A19" s="14" t="s">
        <v>14</v>
      </c>
      <c r="B19" s="20" t="s">
        <v>15</v>
      </c>
      <c r="C19" s="16"/>
      <c r="D19" s="31"/>
      <c r="E19" s="31"/>
      <c r="F19" s="31"/>
      <c r="G19" s="18"/>
      <c r="H19" s="38">
        <f>H18/G18/H20*10000</f>
        <v>163.29277866660385</v>
      </c>
      <c r="I19" s="38">
        <f>I18/H18/I20*10000</f>
        <v>124.77412223109604</v>
      </c>
      <c r="J19" s="38">
        <f>J18/I18/J20*10000</f>
        <v>109.92130770897687</v>
      </c>
      <c r="K19" s="38">
        <f>K18/J18/K20*10000</f>
        <v>106.58421837215228</v>
      </c>
      <c r="L19" s="38">
        <f>L18/K18/L20*10000</f>
        <v>107.27302725322853</v>
      </c>
      <c r="M19" s="38">
        <f t="shared" ref="M19:N19" si="4">M18/L18/M20*10000</f>
        <v>107.29889901999266</v>
      </c>
      <c r="N19" s="38">
        <f t="shared" si="4"/>
        <v>107.39106911481821</v>
      </c>
      <c r="P19" s="60"/>
    </row>
    <row r="20" spans="1:17" ht="12.75">
      <c r="A20" s="14" t="s">
        <v>16</v>
      </c>
      <c r="B20" s="20" t="s">
        <v>15</v>
      </c>
      <c r="C20" s="16"/>
      <c r="D20" s="31"/>
      <c r="E20" s="31"/>
      <c r="F20" s="31"/>
      <c r="G20" s="18"/>
      <c r="H20" s="39">
        <v>78</v>
      </c>
      <c r="I20" s="39">
        <v>97.5</v>
      </c>
      <c r="J20" s="39">
        <v>106.3</v>
      </c>
      <c r="K20" s="39">
        <v>105.4</v>
      </c>
      <c r="L20" s="39">
        <v>104.5</v>
      </c>
      <c r="M20" s="39">
        <v>104.3</v>
      </c>
      <c r="N20" s="39">
        <v>104.1</v>
      </c>
      <c r="Q20" s="37"/>
    </row>
    <row r="21" spans="1:17" ht="14.25">
      <c r="A21" s="30" t="s">
        <v>28</v>
      </c>
      <c r="B21" s="34"/>
      <c r="C21" s="16"/>
      <c r="D21" s="31"/>
      <c r="E21" s="31"/>
      <c r="F21" s="31"/>
      <c r="G21" s="18"/>
      <c r="H21" s="19"/>
      <c r="I21" s="19"/>
      <c r="J21" s="19"/>
      <c r="K21" s="19"/>
      <c r="L21" s="19"/>
      <c r="M21" s="19"/>
      <c r="N21" s="19"/>
    </row>
    <row r="22" spans="1:17" ht="21">
      <c r="A22" s="113" t="s">
        <v>29</v>
      </c>
      <c r="B22" s="120" t="s">
        <v>30</v>
      </c>
      <c r="C22" s="118">
        <f>C26+C27</f>
        <v>2241.13</v>
      </c>
      <c r="D22" s="118">
        <f>D26+D27</f>
        <v>3044.4970000000003</v>
      </c>
      <c r="E22" s="118">
        <f>E26+E27</f>
        <v>3454.9</v>
      </c>
      <c r="F22" s="119">
        <v>3885.7</v>
      </c>
      <c r="G22" s="119">
        <v>4407</v>
      </c>
      <c r="H22" s="119">
        <f>H26+H27</f>
        <v>2241.13</v>
      </c>
      <c r="I22" s="119">
        <f>I26+I27</f>
        <v>3044.4970000000003</v>
      </c>
      <c r="J22" s="119">
        <f>J26+J27</f>
        <v>3454.9</v>
      </c>
      <c r="K22" s="218">
        <v>3885.7</v>
      </c>
      <c r="L22" s="218">
        <v>4407</v>
      </c>
      <c r="M22" s="218">
        <f>M26+M27</f>
        <v>4999</v>
      </c>
      <c r="N22" s="218">
        <f>N26+N27</f>
        <v>5579</v>
      </c>
    </row>
    <row r="23" spans="1:17">
      <c r="A23" s="113" t="s">
        <v>14</v>
      </c>
      <c r="B23" s="120" t="s">
        <v>15</v>
      </c>
      <c r="C23" s="121"/>
      <c r="D23" s="121">
        <f>D22/C22*100/D24*100</f>
        <v>128.39935248368371</v>
      </c>
      <c r="E23" s="139">
        <f>E22/D22/E24*10000</f>
        <v>105.562937493986</v>
      </c>
      <c r="F23" s="138">
        <f>F22/E22/F24*10000</f>
        <v>106.00305992207818</v>
      </c>
      <c r="G23" s="139">
        <f>G22/F22/G24*10000</f>
        <v>106.09528357954846</v>
      </c>
      <c r="H23" s="121"/>
      <c r="I23" s="121">
        <f>I22/H22*100/I24*100</f>
        <v>128.39935248368371</v>
      </c>
      <c r="J23" s="138">
        <f>J22/I22/J24*10000</f>
        <v>105.562937493986</v>
      </c>
      <c r="K23" s="138">
        <f>K22/J22/K24*10000</f>
        <v>106.00305992207818</v>
      </c>
      <c r="L23" s="138">
        <f>L22/K22/L24*10000</f>
        <v>106.09528357954846</v>
      </c>
      <c r="M23" s="138">
        <f>M22/L22/M24*10000</f>
        <v>106.11148222181609</v>
      </c>
      <c r="N23" s="138">
        <f>N22/M22/N24*10000</f>
        <v>106.18679397154408</v>
      </c>
    </row>
    <row r="24" spans="1:17" ht="16.5" customHeight="1">
      <c r="A24" s="113" t="s">
        <v>16</v>
      </c>
      <c r="B24" s="120" t="s">
        <v>15</v>
      </c>
      <c r="C24" s="121">
        <v>109.9</v>
      </c>
      <c r="D24" s="121">
        <v>105.8</v>
      </c>
      <c r="E24" s="121">
        <v>107.5</v>
      </c>
      <c r="F24" s="121">
        <v>106.1</v>
      </c>
      <c r="G24" s="121">
        <v>106.9</v>
      </c>
      <c r="H24" s="121">
        <v>109.9</v>
      </c>
      <c r="I24" s="121">
        <v>105.8</v>
      </c>
      <c r="J24" s="121">
        <v>107.5</v>
      </c>
      <c r="K24" s="121">
        <v>106.1</v>
      </c>
      <c r="L24" s="121">
        <v>106.9</v>
      </c>
      <c r="M24" s="121">
        <v>106.9</v>
      </c>
      <c r="N24" s="121">
        <v>105.1</v>
      </c>
    </row>
    <row r="25" spans="1:17" ht="12.75">
      <c r="A25" s="136" t="s">
        <v>31</v>
      </c>
      <c r="B25" s="12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P25" s="40"/>
    </row>
    <row r="26" spans="1:17" ht="12.75">
      <c r="A26" s="143" t="s">
        <v>32</v>
      </c>
      <c r="B26" s="120" t="s">
        <v>30</v>
      </c>
      <c r="C26" s="144">
        <v>1347.52</v>
      </c>
      <c r="D26" s="144">
        <v>1943.3820000000001</v>
      </c>
      <c r="E26" s="144">
        <v>2225.3000000000002</v>
      </c>
      <c r="F26" s="145">
        <v>2502</v>
      </c>
      <c r="G26" s="145">
        <v>2724</v>
      </c>
      <c r="H26" s="145">
        <v>1347.52</v>
      </c>
      <c r="I26" s="145">
        <v>1943.3820000000001</v>
      </c>
      <c r="J26" s="145">
        <v>2225.3000000000002</v>
      </c>
      <c r="K26" s="145">
        <v>2502</v>
      </c>
      <c r="L26" s="145">
        <v>2724</v>
      </c>
      <c r="M26" s="145">
        <v>3196</v>
      </c>
      <c r="N26" s="145">
        <v>3458</v>
      </c>
      <c r="P26" s="40"/>
    </row>
    <row r="27" spans="1:17" ht="12.75">
      <c r="A27" s="143" t="s">
        <v>33</v>
      </c>
      <c r="B27" s="120" t="s">
        <v>30</v>
      </c>
      <c r="C27" s="118">
        <v>893.61</v>
      </c>
      <c r="D27" s="118">
        <v>1101.115</v>
      </c>
      <c r="E27" s="118">
        <v>1229.5999999999999</v>
      </c>
      <c r="F27" s="119">
        <v>1383</v>
      </c>
      <c r="G27" s="119">
        <v>1683</v>
      </c>
      <c r="H27" s="119">
        <v>893.61</v>
      </c>
      <c r="I27" s="119">
        <v>1101.115</v>
      </c>
      <c r="J27" s="119">
        <v>1229.5999999999999</v>
      </c>
      <c r="K27" s="119">
        <v>1383</v>
      </c>
      <c r="L27" s="119">
        <v>1683</v>
      </c>
      <c r="M27" s="119">
        <v>1803</v>
      </c>
      <c r="N27" s="119">
        <v>2121</v>
      </c>
    </row>
    <row r="28" spans="1:17" ht="14.25">
      <c r="A28" s="30" t="s">
        <v>34</v>
      </c>
      <c r="B28" s="34"/>
      <c r="C28" s="16"/>
      <c r="D28" s="31"/>
      <c r="E28" s="31"/>
      <c r="F28" s="31"/>
      <c r="G28" s="18"/>
      <c r="H28" s="19"/>
      <c r="I28" s="19"/>
      <c r="J28" s="19"/>
      <c r="K28" s="19"/>
      <c r="L28" s="19"/>
      <c r="M28" s="19"/>
      <c r="N28" s="19"/>
    </row>
    <row r="29" spans="1:17" ht="14.25">
      <c r="A29" s="30" t="s">
        <v>35</v>
      </c>
      <c r="B29" s="34"/>
      <c r="C29" s="16"/>
      <c r="D29" s="31"/>
      <c r="E29" s="31"/>
      <c r="F29" s="31"/>
      <c r="G29" s="18"/>
      <c r="H29" s="19"/>
      <c r="I29" s="19"/>
      <c r="J29" s="19"/>
      <c r="K29" s="19"/>
      <c r="L29" s="19"/>
      <c r="M29" s="19"/>
      <c r="N29" s="19"/>
    </row>
    <row r="30" spans="1:17" ht="42">
      <c r="A30" s="14" t="s">
        <v>36</v>
      </c>
      <c r="B30" s="15" t="s">
        <v>37</v>
      </c>
      <c r="C30" s="16">
        <v>1</v>
      </c>
      <c r="D30" s="31"/>
      <c r="E30" s="31"/>
      <c r="F30" s="31"/>
      <c r="G30" s="41">
        <v>250.8</v>
      </c>
      <c r="H30" s="19">
        <v>360.4</v>
      </c>
      <c r="I30" s="19">
        <v>360.4</v>
      </c>
      <c r="J30" s="19">
        <v>402.7</v>
      </c>
      <c r="K30" s="19">
        <v>402.7</v>
      </c>
      <c r="L30" s="19">
        <v>402.7</v>
      </c>
      <c r="M30" s="19">
        <v>402.7</v>
      </c>
      <c r="N30" s="19">
        <v>402.7</v>
      </c>
    </row>
    <row r="31" spans="1:17" ht="14.25">
      <c r="A31" s="30" t="s">
        <v>38</v>
      </c>
      <c r="B31" s="20"/>
      <c r="C31" s="16"/>
      <c r="D31" s="31"/>
      <c r="E31" s="31"/>
      <c r="F31" s="31"/>
      <c r="G31" s="18"/>
      <c r="H31" s="19"/>
      <c r="I31" s="19"/>
      <c r="J31" s="19"/>
      <c r="K31" s="19"/>
      <c r="L31" s="19"/>
      <c r="M31" s="19"/>
      <c r="N31" s="19"/>
    </row>
    <row r="32" spans="1:17" ht="12.75">
      <c r="A32" s="42" t="s">
        <v>39</v>
      </c>
      <c r="B32" s="43"/>
      <c r="C32" s="16"/>
      <c r="D32" s="31"/>
      <c r="E32" s="31"/>
      <c r="F32" s="31"/>
      <c r="G32" s="18" t="s">
        <v>40</v>
      </c>
      <c r="H32" s="19" t="s">
        <v>40</v>
      </c>
      <c r="I32" s="19" t="s">
        <v>40</v>
      </c>
      <c r="J32" s="19" t="s">
        <v>40</v>
      </c>
      <c r="K32" s="19"/>
      <c r="L32" s="19" t="s">
        <v>40</v>
      </c>
      <c r="M32" s="19" t="s">
        <v>40</v>
      </c>
      <c r="N32" s="19"/>
    </row>
    <row r="33" spans="1:16" ht="32.25">
      <c r="A33" s="42" t="s">
        <v>41</v>
      </c>
      <c r="B33" s="43" t="s">
        <v>0</v>
      </c>
      <c r="C33" s="16">
        <v>1</v>
      </c>
      <c r="D33" s="31"/>
      <c r="E33" s="31"/>
      <c r="F33" s="31"/>
      <c r="G33" s="18" t="s">
        <v>40</v>
      </c>
      <c r="H33" s="19" t="s">
        <v>40</v>
      </c>
      <c r="I33" s="19"/>
      <c r="J33" s="19" t="s">
        <v>40</v>
      </c>
      <c r="K33" s="19"/>
      <c r="L33" s="19" t="s">
        <v>40</v>
      </c>
      <c r="M33" s="19" t="s">
        <v>40</v>
      </c>
      <c r="N33" s="19"/>
    </row>
    <row r="34" spans="1:16" ht="21.75">
      <c r="A34" s="42" t="s">
        <v>42</v>
      </c>
      <c r="B34" s="43" t="s">
        <v>43</v>
      </c>
      <c r="C34" s="16">
        <v>1</v>
      </c>
      <c r="D34" s="31"/>
      <c r="E34" s="31"/>
      <c r="F34" s="31"/>
      <c r="G34" s="18" t="s">
        <v>40</v>
      </c>
      <c r="H34" s="19" t="s">
        <v>40</v>
      </c>
      <c r="I34" s="19"/>
      <c r="J34" s="19" t="s">
        <v>40</v>
      </c>
      <c r="K34" s="19"/>
      <c r="L34" s="19" t="s">
        <v>40</v>
      </c>
      <c r="M34" s="19" t="s">
        <v>40</v>
      </c>
      <c r="N34" s="19"/>
    </row>
    <row r="35" spans="1:16" ht="12.75">
      <c r="A35" s="42" t="s">
        <v>44</v>
      </c>
      <c r="B35" s="43" t="s">
        <v>0</v>
      </c>
      <c r="C35" s="16">
        <v>1</v>
      </c>
      <c r="D35" s="31"/>
      <c r="E35" s="31"/>
      <c r="F35" s="31"/>
      <c r="G35" s="18">
        <f>11/63080*10000</f>
        <v>1.7438173747622068</v>
      </c>
      <c r="H35" s="19">
        <f>11/H6*10</f>
        <v>1.6709706820598511</v>
      </c>
      <c r="I35" s="19">
        <f t="shared" ref="I35" si="5">11/I6*10</f>
        <v>1.6364177328176139</v>
      </c>
      <c r="J35" s="19">
        <f>11/J6*10</f>
        <v>1.607717041800643</v>
      </c>
      <c r="K35" s="19">
        <f t="shared" ref="K35:N35" si="6">11/K6*10</f>
        <v>1.5777395295467587</v>
      </c>
      <c r="L35" s="19">
        <f t="shared" si="6"/>
        <v>1.5466816647919011</v>
      </c>
      <c r="M35" s="19">
        <f t="shared" si="6"/>
        <v>1.5168229453943738</v>
      </c>
      <c r="N35" s="19">
        <f t="shared" si="6"/>
        <v>1.4901110810078568</v>
      </c>
    </row>
    <row r="36" spans="1:16" ht="14.25">
      <c r="A36" s="30" t="s">
        <v>45</v>
      </c>
      <c r="B36" s="44"/>
      <c r="C36" s="16"/>
      <c r="D36" s="31"/>
      <c r="E36" s="31"/>
      <c r="F36" s="31"/>
      <c r="G36" s="18"/>
      <c r="H36" s="19"/>
      <c r="I36" s="19"/>
      <c r="J36" s="19"/>
      <c r="K36" s="19"/>
      <c r="L36" s="19"/>
      <c r="M36" s="19"/>
      <c r="N36" s="19"/>
    </row>
    <row r="37" spans="1:16" ht="21">
      <c r="A37" s="14" t="s">
        <v>46</v>
      </c>
      <c r="B37" s="20" t="s">
        <v>21</v>
      </c>
      <c r="C37" s="16">
        <v>1</v>
      </c>
      <c r="D37" s="31"/>
      <c r="E37" s="31"/>
      <c r="F37" s="31"/>
      <c r="G37" s="18">
        <v>1412.5</v>
      </c>
      <c r="H37" s="19">
        <f>1692599/1000</f>
        <v>1692.5989999999999</v>
      </c>
      <c r="I37" s="19">
        <v>2010.7</v>
      </c>
      <c r="J37" s="19">
        <f>2227316/1000</f>
        <v>2227.3159999999998</v>
      </c>
      <c r="K37" s="19">
        <v>2441</v>
      </c>
      <c r="L37" s="19">
        <v>2663</v>
      </c>
      <c r="M37" s="19">
        <f>L37+300</f>
        <v>2963</v>
      </c>
      <c r="N37" s="215">
        <f>M37+300</f>
        <v>3263</v>
      </c>
      <c r="O37" s="37"/>
      <c r="P37" s="37"/>
    </row>
    <row r="38" spans="1:16" ht="12.75">
      <c r="A38" s="14" t="s">
        <v>14</v>
      </c>
      <c r="B38" s="20" t="s">
        <v>15</v>
      </c>
      <c r="C38" s="16"/>
      <c r="D38" s="31"/>
      <c r="E38" s="31"/>
      <c r="F38" s="31"/>
      <c r="G38" s="18"/>
      <c r="H38" s="21">
        <f t="shared" ref="H38:I38" si="7">H37/G37*100/H39*100</f>
        <v>111.46978390615352</v>
      </c>
      <c r="I38" s="21">
        <f t="shared" si="7"/>
        <v>108.09248608143665</v>
      </c>
      <c r="J38" s="21">
        <f>J37/I37*100/J39*100</f>
        <v>100.9782712624197</v>
      </c>
      <c r="K38" s="21">
        <f>K37/J37/K39*10000</f>
        <v>105.48006652222037</v>
      </c>
      <c r="L38" s="21">
        <f t="shared" ref="L38:N38" si="8">L37/K37/L39*10000</f>
        <v>104.6973448627533</v>
      </c>
      <c r="M38" s="21">
        <f t="shared" si="8"/>
        <v>105.46491947755176</v>
      </c>
      <c r="N38" s="21">
        <f t="shared" si="8"/>
        <v>104.58202605800761</v>
      </c>
      <c r="O38" s="37"/>
    </row>
    <row r="39" spans="1:16" ht="12.75">
      <c r="A39" s="14" t="s">
        <v>16</v>
      </c>
      <c r="B39" s="20" t="s">
        <v>15</v>
      </c>
      <c r="C39" s="16"/>
      <c r="D39" s="31"/>
      <c r="E39" s="31"/>
      <c r="F39" s="31"/>
      <c r="G39" s="18"/>
      <c r="H39" s="21">
        <v>107.5</v>
      </c>
      <c r="I39" s="21">
        <v>109.9</v>
      </c>
      <c r="J39" s="21">
        <v>109.7</v>
      </c>
      <c r="K39" s="21">
        <v>103.9</v>
      </c>
      <c r="L39" s="21">
        <v>104.2</v>
      </c>
      <c r="M39" s="21">
        <v>105.5</v>
      </c>
      <c r="N39" s="21">
        <v>105.3</v>
      </c>
    </row>
    <row r="40" spans="1:16" ht="14.25">
      <c r="A40" s="24" t="s">
        <v>47</v>
      </c>
      <c r="B40" s="34"/>
      <c r="C40" s="16"/>
      <c r="D40" s="31"/>
      <c r="E40" s="31"/>
      <c r="F40" s="31"/>
      <c r="G40" s="18"/>
      <c r="H40" s="19"/>
      <c r="I40" s="19"/>
      <c r="J40" s="19"/>
      <c r="K40" s="19"/>
      <c r="L40" s="19"/>
      <c r="M40" s="19"/>
      <c r="N40" s="19"/>
    </row>
    <row r="41" spans="1:16" ht="12.75">
      <c r="A41" s="14" t="s">
        <v>48</v>
      </c>
      <c r="B41" s="20" t="s">
        <v>49</v>
      </c>
      <c r="C41" s="16">
        <v>1</v>
      </c>
      <c r="D41" s="31"/>
      <c r="E41" s="31"/>
      <c r="F41" s="31"/>
      <c r="G41" s="18">
        <v>5372</v>
      </c>
      <c r="H41" s="19">
        <v>2777.4</v>
      </c>
      <c r="I41" s="19">
        <v>3131.9</v>
      </c>
      <c r="J41" s="19">
        <v>3759</v>
      </c>
      <c r="K41" s="19">
        <v>4175</v>
      </c>
      <c r="L41" s="19">
        <v>4629</v>
      </c>
      <c r="M41" s="19">
        <v>5120</v>
      </c>
      <c r="N41" s="25">
        <v>5630</v>
      </c>
    </row>
    <row r="42" spans="1:16" ht="12.75">
      <c r="A42" s="14" t="s">
        <v>14</v>
      </c>
      <c r="B42" s="20" t="s">
        <v>15</v>
      </c>
      <c r="C42" s="16"/>
      <c r="D42" s="31"/>
      <c r="E42" s="31"/>
      <c r="F42" s="31"/>
      <c r="G42" s="18"/>
      <c r="H42" s="21"/>
      <c r="I42" s="21">
        <f t="shared" ref="I42:J42" si="9">I41/H41*100/I43*100</f>
        <v>106.98646666800573</v>
      </c>
      <c r="J42" s="21">
        <f t="shared" si="9"/>
        <v>102.32138895120086</v>
      </c>
      <c r="K42" s="21">
        <f>K41/J41/K43*10000</f>
        <v>103.99510587822684</v>
      </c>
      <c r="L42" s="21">
        <f t="shared" ref="L42:N42" si="10">L41/K41/L43*10000</f>
        <v>104.49976578417153</v>
      </c>
      <c r="M42" s="21">
        <f t="shared" si="10"/>
        <v>105.23981213871348</v>
      </c>
      <c r="N42" s="21">
        <f t="shared" si="10"/>
        <v>105.32656848659003</v>
      </c>
    </row>
    <row r="43" spans="1:16" ht="12.75">
      <c r="A43" s="14" t="s">
        <v>16</v>
      </c>
      <c r="B43" s="20" t="s">
        <v>15</v>
      </c>
      <c r="C43" s="16"/>
      <c r="D43" s="31"/>
      <c r="E43" s="31"/>
      <c r="F43" s="31"/>
      <c r="G43" s="18"/>
      <c r="H43" s="21">
        <v>106.5</v>
      </c>
      <c r="I43" s="21">
        <v>105.4</v>
      </c>
      <c r="J43" s="21">
        <v>117.3</v>
      </c>
      <c r="K43" s="21">
        <v>106.8</v>
      </c>
      <c r="L43" s="21">
        <v>106.1</v>
      </c>
      <c r="M43" s="21">
        <v>105.1</v>
      </c>
      <c r="N43" s="21">
        <v>104.4</v>
      </c>
    </row>
    <row r="44" spans="1:16" ht="28.5">
      <c r="A44" s="24" t="s">
        <v>50</v>
      </c>
      <c r="B44" s="34"/>
      <c r="C44" s="16"/>
      <c r="D44" s="31"/>
      <c r="E44" s="31"/>
      <c r="F44" s="31"/>
      <c r="G44" s="18"/>
      <c r="H44" s="19"/>
      <c r="I44" s="19"/>
      <c r="J44" s="19"/>
      <c r="K44" s="19"/>
      <c r="L44" s="19"/>
      <c r="M44" s="19"/>
      <c r="N44" s="19"/>
    </row>
    <row r="45" spans="1:16" ht="12.75">
      <c r="A45" s="45" t="s">
        <v>51</v>
      </c>
      <c r="B45" s="20" t="s">
        <v>52</v>
      </c>
      <c r="C45" s="16">
        <v>1</v>
      </c>
      <c r="D45" s="31"/>
      <c r="E45" s="31"/>
      <c r="F45" s="31"/>
      <c r="G45" s="18" t="s">
        <v>40</v>
      </c>
      <c r="H45" s="19" t="s">
        <v>40</v>
      </c>
      <c r="I45" s="19"/>
      <c r="J45" s="19" t="s">
        <v>40</v>
      </c>
      <c r="K45" s="19"/>
      <c r="L45" s="19" t="s">
        <v>40</v>
      </c>
      <c r="M45" s="19" t="s">
        <v>40</v>
      </c>
      <c r="N45" s="19" t="s">
        <v>40</v>
      </c>
    </row>
    <row r="46" spans="1:16" ht="12.75">
      <c r="A46" s="45" t="s">
        <v>53</v>
      </c>
      <c r="B46" s="20" t="s">
        <v>52</v>
      </c>
      <c r="C46" s="16">
        <v>1</v>
      </c>
      <c r="D46" s="31"/>
      <c r="E46" s="31"/>
      <c r="F46" s="31"/>
      <c r="G46" s="18" t="s">
        <v>40</v>
      </c>
      <c r="H46" s="19" t="s">
        <v>40</v>
      </c>
      <c r="I46" s="19"/>
      <c r="J46" s="19" t="s">
        <v>40</v>
      </c>
      <c r="K46" s="19"/>
      <c r="L46" s="19" t="s">
        <v>40</v>
      </c>
      <c r="M46" s="19" t="s">
        <v>40</v>
      </c>
      <c r="N46" s="19" t="s">
        <v>40</v>
      </c>
    </row>
    <row r="47" spans="1:16" ht="28.5">
      <c r="A47" s="46" t="s">
        <v>54</v>
      </c>
      <c r="B47" s="47"/>
      <c r="C47" s="48"/>
      <c r="D47" s="49"/>
      <c r="E47" s="49"/>
      <c r="F47" s="49"/>
      <c r="G47" s="18"/>
      <c r="H47" s="19"/>
      <c r="I47" s="19"/>
      <c r="J47" s="19"/>
      <c r="K47" s="19"/>
      <c r="L47" s="19"/>
      <c r="M47" s="19"/>
      <c r="N47" s="19"/>
    </row>
    <row r="48" spans="1:16" ht="12.75">
      <c r="A48" s="50" t="s">
        <v>55</v>
      </c>
      <c r="B48" s="51" t="s">
        <v>0</v>
      </c>
      <c r="C48" s="48"/>
      <c r="D48" s="49"/>
      <c r="E48" s="49"/>
      <c r="F48" s="49"/>
      <c r="G48" s="18" t="s">
        <v>40</v>
      </c>
      <c r="H48" s="19">
        <v>3</v>
      </c>
      <c r="I48" s="19">
        <v>3</v>
      </c>
      <c r="J48" s="19" t="s">
        <v>40</v>
      </c>
      <c r="K48" s="19" t="s">
        <v>40</v>
      </c>
      <c r="L48" s="19" t="s">
        <v>40</v>
      </c>
      <c r="M48" s="19" t="s">
        <v>40</v>
      </c>
      <c r="N48" s="19" t="s">
        <v>40</v>
      </c>
    </row>
    <row r="49" spans="1:15" ht="21">
      <c r="A49" s="52" t="s">
        <v>56</v>
      </c>
      <c r="B49" s="51"/>
      <c r="C49" s="48"/>
      <c r="D49" s="49"/>
      <c r="E49" s="49"/>
      <c r="F49" s="49"/>
      <c r="G49" s="18" t="s">
        <v>40</v>
      </c>
      <c r="H49" s="19"/>
      <c r="J49" s="19" t="s">
        <v>40</v>
      </c>
      <c r="K49" s="19"/>
      <c r="L49" s="19" t="s">
        <v>40</v>
      </c>
      <c r="M49" s="19"/>
      <c r="N49" s="19"/>
    </row>
    <row r="50" spans="1:15" ht="12.75">
      <c r="A50" s="53" t="s">
        <v>57</v>
      </c>
      <c r="B50" s="51" t="s">
        <v>0</v>
      </c>
      <c r="C50" s="48"/>
      <c r="D50" s="49"/>
      <c r="E50" s="49"/>
      <c r="F50" s="49"/>
      <c r="G50" s="18" t="s">
        <v>40</v>
      </c>
      <c r="H50" s="19">
        <v>1</v>
      </c>
      <c r="I50" s="19">
        <v>1</v>
      </c>
      <c r="J50" s="19" t="s">
        <v>40</v>
      </c>
      <c r="K50" s="19"/>
      <c r="L50" s="19" t="s">
        <v>40</v>
      </c>
      <c r="M50" s="19"/>
      <c r="N50" s="19"/>
    </row>
    <row r="51" spans="1:15" ht="12.75">
      <c r="A51" s="53" t="s">
        <v>58</v>
      </c>
      <c r="B51" s="51" t="s">
        <v>0</v>
      </c>
      <c r="C51" s="48"/>
      <c r="D51" s="49"/>
      <c r="E51" s="49"/>
      <c r="F51" s="49"/>
      <c r="G51" s="18" t="s">
        <v>40</v>
      </c>
      <c r="H51" s="19" t="s">
        <v>40</v>
      </c>
      <c r="I51" s="19"/>
      <c r="J51" s="19" t="s">
        <v>40</v>
      </c>
      <c r="K51" s="19"/>
      <c r="L51" s="19" t="s">
        <v>40</v>
      </c>
      <c r="M51" s="19" t="s">
        <v>40</v>
      </c>
      <c r="N51" s="19"/>
    </row>
    <row r="52" spans="1:15" ht="21">
      <c r="A52" s="53" t="s">
        <v>59</v>
      </c>
      <c r="B52" s="51" t="s">
        <v>0</v>
      </c>
      <c r="C52" s="48"/>
      <c r="D52" s="49"/>
      <c r="E52" s="49"/>
      <c r="F52" s="49"/>
      <c r="G52" s="18" t="s">
        <v>40</v>
      </c>
      <c r="H52" s="19" t="s">
        <v>40</v>
      </c>
      <c r="I52" s="19"/>
      <c r="J52" s="19" t="s">
        <v>40</v>
      </c>
      <c r="K52" s="19"/>
      <c r="L52" s="19" t="s">
        <v>40</v>
      </c>
      <c r="M52" s="19" t="s">
        <v>40</v>
      </c>
      <c r="N52" s="19"/>
    </row>
    <row r="53" spans="1:15" ht="12.75">
      <c r="A53" s="53" t="s">
        <v>60</v>
      </c>
      <c r="B53" s="51" t="s">
        <v>0</v>
      </c>
      <c r="C53" s="48"/>
      <c r="D53" s="49"/>
      <c r="E53" s="49"/>
      <c r="F53" s="49"/>
      <c r="G53" s="18" t="s">
        <v>40</v>
      </c>
      <c r="H53" s="19" t="s">
        <v>40</v>
      </c>
      <c r="I53" s="19"/>
      <c r="J53" s="19" t="s">
        <v>40</v>
      </c>
      <c r="K53" s="19"/>
      <c r="L53" s="19" t="s">
        <v>40</v>
      </c>
      <c r="M53" s="19" t="s">
        <v>40</v>
      </c>
      <c r="N53" s="19"/>
    </row>
    <row r="54" spans="1:15" ht="31.5">
      <c r="A54" s="53" t="s">
        <v>61</v>
      </c>
      <c r="B54" s="51" t="s">
        <v>0</v>
      </c>
      <c r="C54" s="48"/>
      <c r="D54" s="49"/>
      <c r="E54" s="49"/>
      <c r="F54" s="49"/>
      <c r="G54" s="18" t="s">
        <v>40</v>
      </c>
      <c r="H54" s="19" t="s">
        <v>40</v>
      </c>
      <c r="I54" s="19"/>
      <c r="J54" s="19" t="s">
        <v>40</v>
      </c>
      <c r="K54" s="19"/>
      <c r="L54" s="19" t="s">
        <v>40</v>
      </c>
      <c r="M54" s="19" t="s">
        <v>40</v>
      </c>
      <c r="N54" s="19"/>
    </row>
    <row r="55" spans="1:15" ht="12.75">
      <c r="A55" s="53" t="s">
        <v>62</v>
      </c>
      <c r="B55" s="51" t="s">
        <v>0</v>
      </c>
      <c r="C55" s="48"/>
      <c r="D55" s="49"/>
      <c r="E55" s="49"/>
      <c r="F55" s="49"/>
      <c r="G55" s="18" t="s">
        <v>40</v>
      </c>
      <c r="H55" s="19" t="s">
        <v>40</v>
      </c>
      <c r="I55" s="19"/>
      <c r="J55" s="19" t="s">
        <v>40</v>
      </c>
      <c r="K55" s="19"/>
      <c r="L55" s="19" t="s">
        <v>40</v>
      </c>
      <c r="M55" s="19" t="s">
        <v>40</v>
      </c>
      <c r="N55" s="19"/>
    </row>
    <row r="56" spans="1:15" ht="21">
      <c r="A56" s="53" t="s">
        <v>63</v>
      </c>
      <c r="B56" s="51" t="s">
        <v>0</v>
      </c>
      <c r="C56" s="48"/>
      <c r="D56" s="49"/>
      <c r="E56" s="49"/>
      <c r="F56" s="49"/>
      <c r="G56" s="18" t="s">
        <v>40</v>
      </c>
      <c r="H56" s="19" t="s">
        <v>40</v>
      </c>
      <c r="I56" s="19"/>
      <c r="J56" s="19" t="s">
        <v>40</v>
      </c>
      <c r="K56" s="19"/>
      <c r="L56" s="19" t="s">
        <v>40</v>
      </c>
      <c r="M56" s="19" t="s">
        <v>40</v>
      </c>
      <c r="N56" s="19"/>
    </row>
    <row r="57" spans="1:15" ht="12.75">
      <c r="A57" s="53" t="s">
        <v>64</v>
      </c>
      <c r="B57" s="51" t="s">
        <v>0</v>
      </c>
      <c r="C57" s="48"/>
      <c r="D57" s="49"/>
      <c r="E57" s="49"/>
      <c r="F57" s="49"/>
      <c r="G57" s="18" t="s">
        <v>40</v>
      </c>
      <c r="H57" s="19" t="s">
        <v>40</v>
      </c>
      <c r="I57" s="19"/>
      <c r="J57" s="19" t="s">
        <v>40</v>
      </c>
      <c r="K57" s="19"/>
      <c r="L57" s="19" t="s">
        <v>40</v>
      </c>
      <c r="M57" s="19" t="s">
        <v>40</v>
      </c>
      <c r="N57" s="19"/>
      <c r="O57" s="54"/>
    </row>
    <row r="58" spans="1:15" ht="21">
      <c r="A58" s="50" t="s">
        <v>65</v>
      </c>
      <c r="B58" s="51" t="s">
        <v>0</v>
      </c>
      <c r="C58" s="16">
        <v>1</v>
      </c>
      <c r="D58" s="31"/>
      <c r="E58" s="31"/>
      <c r="F58" s="31"/>
      <c r="G58" s="55">
        <v>361</v>
      </c>
      <c r="H58" s="19">
        <f>H60+H61+H62+H63+H64+H65+H66+H67+H68+H69</f>
        <v>304</v>
      </c>
      <c r="I58" s="19">
        <f>I60+I61+I62+I63+I64+I65+I66+I67+I68+I69</f>
        <v>285</v>
      </c>
      <c r="J58" s="19">
        <f>J60+J61+J62+J63+J64+J65+J66+J67+J68+J69</f>
        <v>215</v>
      </c>
      <c r="K58" s="19">
        <f>K60+K61+K62+K63+K64+K65+K66+K67+K68+K69</f>
        <v>216</v>
      </c>
      <c r="L58" s="19">
        <f t="shared" ref="L58:N58" si="11">L60+L61+L62+L63+L64+L65+L66+L67+L68+L69</f>
        <v>229</v>
      </c>
      <c r="M58" s="19">
        <f t="shared" si="11"/>
        <v>232</v>
      </c>
      <c r="N58" s="19">
        <f t="shared" si="11"/>
        <v>235</v>
      </c>
      <c r="O58" s="54"/>
    </row>
    <row r="59" spans="1:15" ht="21">
      <c r="A59" s="52" t="s">
        <v>56</v>
      </c>
      <c r="B59" s="51"/>
      <c r="C59" s="16"/>
      <c r="D59" s="31"/>
      <c r="E59" s="31"/>
      <c r="F59" s="31"/>
      <c r="G59" s="55"/>
      <c r="H59" s="19"/>
      <c r="I59" s="19"/>
      <c r="J59" s="19"/>
      <c r="K59" s="19"/>
      <c r="L59" s="19"/>
      <c r="M59" s="19"/>
      <c r="N59" s="19"/>
      <c r="O59" s="54"/>
    </row>
    <row r="60" spans="1:15" ht="12.75">
      <c r="A60" s="53" t="s">
        <v>57</v>
      </c>
      <c r="B60" s="51" t="s">
        <v>0</v>
      </c>
      <c r="C60" s="16"/>
      <c r="D60" s="31"/>
      <c r="E60" s="31"/>
      <c r="F60" s="31"/>
      <c r="G60" s="55">
        <v>5</v>
      </c>
      <c r="H60" s="19">
        <v>11</v>
      </c>
      <c r="I60" s="19">
        <v>8</v>
      </c>
      <c r="J60" s="19">
        <v>8</v>
      </c>
      <c r="K60" s="19">
        <v>8</v>
      </c>
      <c r="L60" s="19">
        <v>8</v>
      </c>
      <c r="M60" s="19">
        <v>8</v>
      </c>
      <c r="N60" s="19">
        <v>8</v>
      </c>
    </row>
    <row r="61" spans="1:15" ht="12.75">
      <c r="A61" s="53" t="s">
        <v>58</v>
      </c>
      <c r="B61" s="51" t="s">
        <v>0</v>
      </c>
      <c r="C61" s="16"/>
      <c r="D61" s="31"/>
      <c r="E61" s="31"/>
      <c r="F61" s="31"/>
      <c r="G61" s="55"/>
      <c r="H61" s="19"/>
      <c r="I61" s="19">
        <v>3</v>
      </c>
      <c r="J61" s="19">
        <v>3</v>
      </c>
      <c r="K61" s="19">
        <v>3</v>
      </c>
      <c r="L61" s="19">
        <v>3</v>
      </c>
      <c r="M61" s="19">
        <v>3</v>
      </c>
      <c r="N61" s="19">
        <v>3</v>
      </c>
    </row>
    <row r="62" spans="1:15" ht="21">
      <c r="A62" s="53" t="s">
        <v>59</v>
      </c>
      <c r="B62" s="51" t="s">
        <v>0</v>
      </c>
      <c r="C62" s="16">
        <v>1</v>
      </c>
      <c r="D62" s="31"/>
      <c r="E62" s="31"/>
      <c r="F62" s="31"/>
      <c r="G62" s="55">
        <v>5</v>
      </c>
      <c r="H62" s="19">
        <v>5</v>
      </c>
      <c r="I62" s="19">
        <v>5</v>
      </c>
      <c r="J62" s="19">
        <v>4</v>
      </c>
      <c r="K62" s="19">
        <v>5</v>
      </c>
      <c r="L62" s="19">
        <v>5</v>
      </c>
      <c r="M62" s="19">
        <v>5</v>
      </c>
      <c r="N62" s="19">
        <v>5</v>
      </c>
    </row>
    <row r="63" spans="1:15" ht="12.75">
      <c r="A63" s="53" t="s">
        <v>60</v>
      </c>
      <c r="B63" s="25"/>
      <c r="C63" s="16">
        <v>1</v>
      </c>
      <c r="D63" s="31"/>
      <c r="E63" s="31"/>
      <c r="F63" s="31"/>
      <c r="G63" s="55">
        <v>30</v>
      </c>
      <c r="H63" s="19">
        <v>26</v>
      </c>
      <c r="I63" s="19">
        <v>23</v>
      </c>
      <c r="J63" s="19">
        <v>20</v>
      </c>
      <c r="K63" s="19">
        <v>20</v>
      </c>
      <c r="L63" s="19">
        <v>20</v>
      </c>
      <c r="M63" s="19">
        <v>20</v>
      </c>
      <c r="N63" s="19">
        <v>20</v>
      </c>
    </row>
    <row r="64" spans="1:15" ht="12.75">
      <c r="A64" s="53" t="s">
        <v>66</v>
      </c>
      <c r="B64" s="51" t="s">
        <v>0</v>
      </c>
      <c r="C64" s="16"/>
      <c r="D64" s="31"/>
      <c r="E64" s="31"/>
      <c r="F64" s="31"/>
      <c r="G64" s="55"/>
      <c r="H64" s="19">
        <v>56</v>
      </c>
      <c r="I64" s="19">
        <v>54</v>
      </c>
      <c r="J64" s="19">
        <v>52</v>
      </c>
      <c r="K64" s="19">
        <v>52</v>
      </c>
      <c r="L64" s="19">
        <v>52</v>
      </c>
      <c r="M64" s="19">
        <v>52</v>
      </c>
      <c r="N64" s="19">
        <v>52</v>
      </c>
    </row>
    <row r="65" spans="1:15" ht="31.5">
      <c r="A65" s="53" t="s">
        <v>61</v>
      </c>
      <c r="B65" s="51" t="s">
        <v>0</v>
      </c>
      <c r="C65" s="16"/>
      <c r="D65" s="31"/>
      <c r="E65" s="31"/>
      <c r="F65" s="31"/>
      <c r="G65" s="55">
        <v>120</v>
      </c>
      <c r="H65" s="19">
        <v>69</v>
      </c>
      <c r="I65" s="19">
        <v>66</v>
      </c>
      <c r="J65" s="19">
        <v>65</v>
      </c>
      <c r="K65" s="19">
        <v>65</v>
      </c>
      <c r="L65" s="19">
        <v>65</v>
      </c>
      <c r="M65" s="19">
        <v>65</v>
      </c>
      <c r="N65" s="19">
        <v>65</v>
      </c>
    </row>
    <row r="66" spans="1:15" ht="12.75">
      <c r="A66" s="53" t="s">
        <v>62</v>
      </c>
      <c r="B66" s="51" t="s">
        <v>0</v>
      </c>
      <c r="C66" s="16">
        <v>1</v>
      </c>
      <c r="D66" s="31"/>
      <c r="E66" s="31"/>
      <c r="F66" s="31"/>
      <c r="G66" s="55">
        <v>1</v>
      </c>
      <c r="H66" s="19">
        <v>1</v>
      </c>
      <c r="I66" s="19">
        <v>1</v>
      </c>
      <c r="J66" s="19">
        <v>1</v>
      </c>
      <c r="K66" s="19">
        <v>1</v>
      </c>
      <c r="L66" s="19">
        <v>1</v>
      </c>
      <c r="M66" s="19">
        <v>1</v>
      </c>
      <c r="N66" s="19">
        <v>1</v>
      </c>
    </row>
    <row r="67" spans="1:15" ht="21">
      <c r="A67" s="53" t="s">
        <v>63</v>
      </c>
      <c r="B67" s="51" t="s">
        <v>0</v>
      </c>
      <c r="C67" s="16">
        <v>1</v>
      </c>
      <c r="D67" s="31"/>
      <c r="E67" s="31"/>
      <c r="F67" s="31"/>
      <c r="G67" s="55"/>
      <c r="H67" s="19"/>
      <c r="I67" s="19"/>
      <c r="J67" s="19"/>
      <c r="K67" s="19"/>
      <c r="L67" s="19"/>
      <c r="M67" s="19"/>
      <c r="N67" s="19"/>
    </row>
    <row r="68" spans="1:15" ht="12.75">
      <c r="A68" s="53" t="s">
        <v>64</v>
      </c>
      <c r="B68" s="51" t="s">
        <v>0</v>
      </c>
      <c r="C68" s="16">
        <v>1</v>
      </c>
      <c r="D68" s="31"/>
      <c r="E68" s="31"/>
      <c r="F68" s="31"/>
      <c r="G68" s="55"/>
      <c r="H68" s="19"/>
      <c r="I68" s="19"/>
      <c r="J68" s="19"/>
      <c r="K68" s="19"/>
      <c r="L68" s="19"/>
      <c r="M68" s="19"/>
      <c r="N68" s="19"/>
    </row>
    <row r="69" spans="1:15" ht="12.75">
      <c r="A69" s="53" t="s">
        <v>67</v>
      </c>
      <c r="B69" s="51"/>
      <c r="C69" s="16"/>
      <c r="D69" s="31"/>
      <c r="E69" s="31"/>
      <c r="F69" s="31"/>
      <c r="G69" s="55">
        <f>G58-G60-G61-G62-G63-G65-G66</f>
        <v>200</v>
      </c>
      <c r="H69" s="19">
        <v>136</v>
      </c>
      <c r="I69" s="19">
        <v>125</v>
      </c>
      <c r="J69" s="19">
        <v>62</v>
      </c>
      <c r="K69" s="19">
        <v>62</v>
      </c>
      <c r="L69" s="19">
        <v>75</v>
      </c>
      <c r="M69" s="19">
        <v>78</v>
      </c>
      <c r="N69" s="19">
        <v>81</v>
      </c>
    </row>
    <row r="70" spans="1:15" ht="32.25" customHeight="1">
      <c r="A70" s="50" t="s">
        <v>68</v>
      </c>
      <c r="B70" s="51" t="s">
        <v>13</v>
      </c>
      <c r="C70" s="16">
        <v>1</v>
      </c>
      <c r="D70" s="31"/>
      <c r="E70" s="31"/>
      <c r="F70" s="31"/>
      <c r="G70" s="18">
        <v>1291</v>
      </c>
      <c r="H70" s="19">
        <f>1.08+2.16</f>
        <v>3.24</v>
      </c>
      <c r="I70" s="19">
        <f>1.054+2.419</f>
        <v>3.4729999999999999</v>
      </c>
      <c r="J70" s="19">
        <v>3.488</v>
      </c>
      <c r="K70" s="19">
        <f>983+1154</f>
        <v>2137</v>
      </c>
      <c r="L70" s="19">
        <v>3.6</v>
      </c>
      <c r="M70" s="19">
        <v>3.65</v>
      </c>
      <c r="N70" s="19">
        <v>3.65</v>
      </c>
    </row>
    <row r="71" spans="1:15" ht="12.75">
      <c r="A71" s="50" t="s">
        <v>69</v>
      </c>
      <c r="B71" s="51" t="s">
        <v>21</v>
      </c>
      <c r="C71" s="16"/>
      <c r="D71" s="31"/>
      <c r="E71" s="31"/>
      <c r="F71" s="31"/>
      <c r="G71" s="18" t="s">
        <v>40</v>
      </c>
      <c r="H71" s="19">
        <v>2</v>
      </c>
      <c r="I71" s="19">
        <v>2</v>
      </c>
      <c r="J71" s="19">
        <v>2</v>
      </c>
      <c r="K71" s="19">
        <v>2</v>
      </c>
      <c r="L71" s="19">
        <v>2</v>
      </c>
      <c r="M71" s="19">
        <v>2</v>
      </c>
      <c r="N71" s="19">
        <v>2</v>
      </c>
      <c r="O71" s="1" t="s">
        <v>221</v>
      </c>
    </row>
    <row r="72" spans="1:15" ht="12.75">
      <c r="A72" s="52" t="s">
        <v>70</v>
      </c>
      <c r="B72" s="51"/>
      <c r="C72" s="16"/>
      <c r="D72" s="31"/>
      <c r="E72" s="31"/>
      <c r="F72" s="31"/>
      <c r="G72" s="18" t="s">
        <v>40</v>
      </c>
      <c r="H72" s="19"/>
      <c r="I72" s="19" t="s">
        <v>40</v>
      </c>
      <c r="J72" s="19" t="s">
        <v>40</v>
      </c>
      <c r="K72" s="19" t="s">
        <v>40</v>
      </c>
      <c r="L72" s="19" t="s">
        <v>40</v>
      </c>
      <c r="M72" s="19" t="s">
        <v>40</v>
      </c>
      <c r="N72" s="19" t="s">
        <v>40</v>
      </c>
    </row>
    <row r="73" spans="1:15" ht="12.75">
      <c r="A73" s="53" t="s">
        <v>57</v>
      </c>
      <c r="B73" s="51" t="s">
        <v>21</v>
      </c>
      <c r="C73" s="16"/>
      <c r="D73" s="31"/>
      <c r="E73" s="31"/>
      <c r="F73" s="31"/>
      <c r="G73" s="18" t="s">
        <v>40</v>
      </c>
      <c r="H73" s="19" t="s">
        <v>40</v>
      </c>
      <c r="I73" s="19" t="s">
        <v>40</v>
      </c>
      <c r="J73" s="19" t="s">
        <v>40</v>
      </c>
      <c r="K73" s="19" t="s">
        <v>40</v>
      </c>
      <c r="L73" s="19" t="s">
        <v>40</v>
      </c>
      <c r="M73" s="19" t="s">
        <v>40</v>
      </c>
      <c r="N73" s="19" t="s">
        <v>40</v>
      </c>
    </row>
    <row r="74" spans="1:15" ht="12.75">
      <c r="A74" s="53" t="s">
        <v>58</v>
      </c>
      <c r="B74" s="51" t="s">
        <v>21</v>
      </c>
      <c r="C74" s="16"/>
      <c r="D74" s="31"/>
      <c r="E74" s="31"/>
      <c r="F74" s="31"/>
      <c r="G74" s="18" t="s">
        <v>40</v>
      </c>
      <c r="H74" s="19" t="s">
        <v>40</v>
      </c>
      <c r="I74" s="19" t="s">
        <v>40</v>
      </c>
      <c r="J74" s="19" t="s">
        <v>40</v>
      </c>
      <c r="K74" s="19" t="s">
        <v>40</v>
      </c>
      <c r="L74" s="19" t="s">
        <v>40</v>
      </c>
      <c r="M74" s="19" t="s">
        <v>40</v>
      </c>
      <c r="N74" s="19" t="s">
        <v>40</v>
      </c>
    </row>
    <row r="75" spans="1:15" ht="21">
      <c r="A75" s="53" t="s">
        <v>59</v>
      </c>
      <c r="B75" s="51" t="s">
        <v>21</v>
      </c>
      <c r="C75" s="16"/>
      <c r="D75" s="31"/>
      <c r="E75" s="31"/>
      <c r="F75" s="31"/>
      <c r="G75" s="18" t="s">
        <v>40</v>
      </c>
      <c r="H75" s="19" t="s">
        <v>40</v>
      </c>
      <c r="I75" s="19" t="s">
        <v>40</v>
      </c>
      <c r="J75" s="19" t="s">
        <v>40</v>
      </c>
      <c r="K75" s="19" t="s">
        <v>40</v>
      </c>
      <c r="L75" s="19" t="s">
        <v>40</v>
      </c>
      <c r="M75" s="19" t="s">
        <v>40</v>
      </c>
      <c r="N75" s="19" t="s">
        <v>40</v>
      </c>
    </row>
    <row r="76" spans="1:15" ht="12.75">
      <c r="A76" s="53" t="s">
        <v>60</v>
      </c>
      <c r="B76" s="51" t="s">
        <v>21</v>
      </c>
      <c r="C76" s="16"/>
      <c r="D76" s="31"/>
      <c r="E76" s="31"/>
      <c r="F76" s="31"/>
      <c r="G76" s="18" t="s">
        <v>40</v>
      </c>
      <c r="H76" s="19" t="s">
        <v>40</v>
      </c>
      <c r="I76" s="19" t="s">
        <v>40</v>
      </c>
      <c r="J76" s="19" t="s">
        <v>40</v>
      </c>
      <c r="K76" s="19" t="s">
        <v>40</v>
      </c>
      <c r="L76" s="19" t="s">
        <v>40</v>
      </c>
      <c r="M76" s="19" t="s">
        <v>40</v>
      </c>
      <c r="N76" s="19" t="s">
        <v>40</v>
      </c>
    </row>
    <row r="77" spans="1:15" ht="31.5">
      <c r="A77" s="53" t="s">
        <v>61</v>
      </c>
      <c r="B77" s="51" t="s">
        <v>21</v>
      </c>
      <c r="C77" s="16"/>
      <c r="D77" s="31"/>
      <c r="E77" s="31"/>
      <c r="F77" s="31"/>
      <c r="G77" s="18" t="s">
        <v>40</v>
      </c>
      <c r="H77" s="19" t="s">
        <v>40</v>
      </c>
      <c r="I77" s="19" t="s">
        <v>40</v>
      </c>
      <c r="J77" s="19" t="s">
        <v>40</v>
      </c>
      <c r="K77" s="19" t="s">
        <v>40</v>
      </c>
      <c r="L77" s="19" t="s">
        <v>40</v>
      </c>
      <c r="M77" s="19" t="s">
        <v>40</v>
      </c>
      <c r="N77" s="19" t="s">
        <v>40</v>
      </c>
    </row>
    <row r="78" spans="1:15" ht="12.75">
      <c r="A78" s="53" t="s">
        <v>62</v>
      </c>
      <c r="B78" s="51" t="s">
        <v>21</v>
      </c>
      <c r="C78" s="16"/>
      <c r="D78" s="31"/>
      <c r="E78" s="31"/>
      <c r="F78" s="31"/>
      <c r="G78" s="18" t="s">
        <v>40</v>
      </c>
      <c r="H78" s="19" t="s">
        <v>40</v>
      </c>
      <c r="I78" s="19" t="s">
        <v>40</v>
      </c>
      <c r="J78" s="19" t="s">
        <v>40</v>
      </c>
      <c r="K78" s="19"/>
      <c r="L78" s="19" t="s">
        <v>40</v>
      </c>
      <c r="M78" s="19"/>
      <c r="N78" s="19"/>
    </row>
    <row r="79" spans="1:15" ht="21">
      <c r="A79" s="53" t="s">
        <v>71</v>
      </c>
      <c r="B79" s="51" t="s">
        <v>21</v>
      </c>
      <c r="C79" s="16"/>
      <c r="D79" s="31"/>
      <c r="E79" s="31"/>
      <c r="F79" s="31"/>
      <c r="G79" s="18" t="s">
        <v>40</v>
      </c>
      <c r="H79" s="19" t="s">
        <v>40</v>
      </c>
      <c r="I79" s="19" t="s">
        <v>40</v>
      </c>
      <c r="J79" s="19" t="s">
        <v>40</v>
      </c>
      <c r="K79" s="19"/>
      <c r="L79" s="19" t="s">
        <v>40</v>
      </c>
      <c r="M79" s="19"/>
      <c r="N79" s="19"/>
    </row>
    <row r="80" spans="1:15" ht="12.75">
      <c r="A80" s="56" t="s">
        <v>31</v>
      </c>
      <c r="B80" s="51"/>
      <c r="C80" s="16"/>
      <c r="D80" s="31"/>
      <c r="E80" s="31"/>
      <c r="F80" s="31"/>
      <c r="G80" s="18" t="s">
        <v>40</v>
      </c>
      <c r="H80" s="19" t="s">
        <v>40</v>
      </c>
      <c r="I80" s="19" t="s">
        <v>40</v>
      </c>
      <c r="J80" s="19" t="s">
        <v>40</v>
      </c>
      <c r="K80" s="19"/>
      <c r="L80" s="19" t="s">
        <v>40</v>
      </c>
      <c r="M80" s="19"/>
      <c r="N80" s="19"/>
    </row>
    <row r="81" spans="1:17" ht="12.75">
      <c r="A81" s="53" t="s">
        <v>72</v>
      </c>
      <c r="B81" s="51" t="s">
        <v>21</v>
      </c>
      <c r="C81" s="16"/>
      <c r="D81" s="31"/>
      <c r="E81" s="31"/>
      <c r="F81" s="31"/>
      <c r="G81" s="18" t="s">
        <v>40</v>
      </c>
      <c r="H81" s="19" t="s">
        <v>40</v>
      </c>
      <c r="I81" s="19" t="s">
        <v>40</v>
      </c>
      <c r="J81" s="19" t="s">
        <v>40</v>
      </c>
      <c r="K81" s="19"/>
      <c r="L81" s="19" t="s">
        <v>40</v>
      </c>
      <c r="M81" s="19"/>
      <c r="N81" s="19"/>
    </row>
    <row r="82" spans="1:17" ht="35.25" customHeight="1">
      <c r="A82" s="50" t="s">
        <v>73</v>
      </c>
      <c r="B82" s="51" t="s">
        <v>21</v>
      </c>
      <c r="C82" s="16"/>
      <c r="D82" s="31"/>
      <c r="E82" s="31"/>
      <c r="F82" s="31"/>
      <c r="G82" s="18" t="e">
        <f>G84+G85+G86+G87+G88+G90+#REF!+#REF!</f>
        <v>#REF!</v>
      </c>
      <c r="H82" s="19">
        <v>1891.9</v>
      </c>
      <c r="I82" s="19">
        <v>2411.59</v>
      </c>
      <c r="J82" s="19">
        <v>2713.37</v>
      </c>
      <c r="K82" s="19">
        <v>2849</v>
      </c>
      <c r="L82" s="19">
        <v>3042.7</v>
      </c>
      <c r="M82" s="19">
        <f>L82*1.05</f>
        <v>3194.835</v>
      </c>
      <c r="N82" s="19">
        <f>M82*1.05</f>
        <v>3354.5767500000002</v>
      </c>
      <c r="O82" s="60">
        <f>K82-J82</f>
        <v>135.63000000000011</v>
      </c>
    </row>
    <row r="83" spans="1:17" ht="14.25" customHeight="1">
      <c r="A83" s="52" t="s">
        <v>70</v>
      </c>
      <c r="B83" s="51"/>
      <c r="C83" s="16"/>
      <c r="D83" s="31"/>
      <c r="E83" s="31"/>
      <c r="F83" s="31"/>
      <c r="G83" s="18"/>
      <c r="H83" s="19"/>
      <c r="I83" s="19"/>
      <c r="J83" s="19"/>
      <c r="K83" s="19"/>
      <c r="L83" s="19"/>
      <c r="M83" s="19"/>
      <c r="N83" s="19"/>
    </row>
    <row r="84" spans="1:17" ht="14.25" customHeight="1">
      <c r="A84" s="53" t="s">
        <v>57</v>
      </c>
      <c r="B84" s="51" t="s">
        <v>21</v>
      </c>
      <c r="C84" s="16"/>
      <c r="D84" s="31"/>
      <c r="E84" s="31"/>
      <c r="F84" s="31"/>
      <c r="G84" s="41">
        <v>155.63999999999999</v>
      </c>
      <c r="H84" s="19">
        <v>341.1</v>
      </c>
      <c r="I84" s="19">
        <v>331.4</v>
      </c>
      <c r="J84" s="19">
        <v>448.1</v>
      </c>
      <c r="K84" s="19"/>
      <c r="L84" s="19">
        <v>297</v>
      </c>
      <c r="M84" s="19">
        <v>297</v>
      </c>
      <c r="N84" s="19">
        <v>297</v>
      </c>
    </row>
    <row r="85" spans="1:17" ht="14.25" customHeight="1">
      <c r="A85" s="53" t="s">
        <v>58</v>
      </c>
      <c r="B85" s="51" t="s">
        <v>21</v>
      </c>
      <c r="C85" s="16"/>
      <c r="D85" s="31"/>
      <c r="E85" s="31"/>
      <c r="F85" s="31"/>
      <c r="G85" s="18">
        <v>31.25</v>
      </c>
      <c r="H85" s="19">
        <v>218.4</v>
      </c>
      <c r="I85" s="19">
        <v>407</v>
      </c>
      <c r="J85" s="19">
        <v>412.51</v>
      </c>
      <c r="K85" s="19"/>
      <c r="L85" s="19">
        <v>45</v>
      </c>
      <c r="M85" s="19">
        <v>45</v>
      </c>
      <c r="N85" s="19">
        <v>45</v>
      </c>
    </row>
    <row r="86" spans="1:17" ht="14.25" customHeight="1">
      <c r="A86" s="53" t="s">
        <v>59</v>
      </c>
      <c r="B86" s="51" t="s">
        <v>21</v>
      </c>
      <c r="C86" s="16"/>
      <c r="D86" s="31"/>
      <c r="E86" s="31"/>
      <c r="F86" s="31"/>
      <c r="G86" s="18">
        <v>517.47</v>
      </c>
      <c r="H86" s="19">
        <v>164.95</v>
      </c>
      <c r="I86" s="19">
        <v>477.16</v>
      </c>
      <c r="J86" s="19">
        <v>494.89</v>
      </c>
      <c r="K86" s="19"/>
      <c r="L86" s="19">
        <f>J86*112/100</f>
        <v>554.27679999999998</v>
      </c>
      <c r="M86" s="19">
        <f>L86*112/100</f>
        <v>620.79001599999992</v>
      </c>
      <c r="N86" s="19">
        <f>M86*112/100</f>
        <v>695.28481791999991</v>
      </c>
    </row>
    <row r="87" spans="1:17" ht="14.25" customHeight="1">
      <c r="A87" s="53" t="s">
        <v>60</v>
      </c>
      <c r="B87" s="51" t="s">
        <v>21</v>
      </c>
      <c r="C87" s="16"/>
      <c r="D87" s="31"/>
      <c r="E87" s="31"/>
      <c r="F87" s="31"/>
      <c r="G87" s="18">
        <v>593.11</v>
      </c>
      <c r="H87" s="19">
        <v>370.04</v>
      </c>
      <c r="I87" s="19">
        <v>512.73</v>
      </c>
      <c r="J87" s="19">
        <v>528.11</v>
      </c>
      <c r="K87" s="19"/>
      <c r="L87" s="19">
        <v>1109</v>
      </c>
      <c r="M87" s="19">
        <v>1109</v>
      </c>
      <c r="N87" s="19">
        <v>1109</v>
      </c>
    </row>
    <row r="88" spans="1:17" ht="35.25" customHeight="1">
      <c r="A88" s="53" t="s">
        <v>61</v>
      </c>
      <c r="B88" s="51" t="s">
        <v>21</v>
      </c>
      <c r="C88" s="16"/>
      <c r="D88" s="31"/>
      <c r="E88" s="31"/>
      <c r="F88" s="31"/>
      <c r="G88" s="18">
        <v>239.35</v>
      </c>
      <c r="H88" s="19">
        <f>185.56+0.25</f>
        <v>185.81</v>
      </c>
      <c r="I88" s="19">
        <v>98.62</v>
      </c>
      <c r="J88" s="19">
        <v>101.57</v>
      </c>
      <c r="K88" s="19"/>
      <c r="L88" s="19">
        <v>306</v>
      </c>
      <c r="M88" s="19">
        <v>306</v>
      </c>
      <c r="N88" s="19">
        <v>306</v>
      </c>
    </row>
    <row r="89" spans="1:17" ht="20.25" customHeight="1">
      <c r="A89" s="53" t="s">
        <v>74</v>
      </c>
      <c r="B89" s="51"/>
      <c r="C89" s="16"/>
      <c r="D89" s="31"/>
      <c r="E89" s="31"/>
      <c r="F89" s="31"/>
      <c r="G89" s="18"/>
      <c r="H89" s="19">
        <v>184.88</v>
      </c>
      <c r="I89" s="19">
        <v>166.36</v>
      </c>
      <c r="J89" s="19">
        <v>235.23</v>
      </c>
      <c r="K89" s="19"/>
      <c r="L89" s="19"/>
      <c r="M89" s="19"/>
      <c r="N89" s="19"/>
    </row>
    <row r="90" spans="1:17" ht="23.25" customHeight="1">
      <c r="A90" s="53" t="s">
        <v>62</v>
      </c>
      <c r="B90" s="51" t="s">
        <v>21</v>
      </c>
      <c r="C90" s="16"/>
      <c r="D90" s="31"/>
      <c r="E90" s="31"/>
      <c r="F90" s="31"/>
      <c r="G90" s="18">
        <f>20/1000</f>
        <v>0.02</v>
      </c>
      <c r="H90" s="19">
        <v>0.05</v>
      </c>
      <c r="I90" s="19">
        <v>0.05</v>
      </c>
      <c r="J90" s="19">
        <v>0.05</v>
      </c>
      <c r="K90" s="19"/>
      <c r="L90" s="19">
        <v>4.5999999999999996</v>
      </c>
      <c r="M90" s="19">
        <v>4.5999999999999996</v>
      </c>
      <c r="N90" s="19">
        <v>4.5999999999999996</v>
      </c>
    </row>
    <row r="91" spans="1:17" ht="23.25" customHeight="1">
      <c r="A91" s="53" t="s">
        <v>71</v>
      </c>
      <c r="B91" s="51" t="s">
        <v>21</v>
      </c>
      <c r="C91" s="16"/>
      <c r="D91" s="31"/>
      <c r="E91" s="31"/>
      <c r="F91" s="31"/>
      <c r="G91" s="18" t="s">
        <v>40</v>
      </c>
      <c r="H91" s="19" t="s">
        <v>40</v>
      </c>
      <c r="I91" s="19" t="s">
        <v>40</v>
      </c>
      <c r="J91" s="19" t="s">
        <v>40</v>
      </c>
      <c r="K91" s="19"/>
      <c r="L91" s="19" t="s">
        <v>40</v>
      </c>
      <c r="M91" s="19" t="s">
        <v>40</v>
      </c>
      <c r="N91" s="19"/>
    </row>
    <row r="92" spans="1:17" ht="35.25" customHeight="1">
      <c r="A92" s="24" t="s">
        <v>75</v>
      </c>
      <c r="B92" s="15"/>
      <c r="C92" s="16"/>
      <c r="D92" s="31"/>
      <c r="E92" s="31"/>
      <c r="F92" s="31"/>
      <c r="G92" s="18"/>
      <c r="H92" s="19"/>
      <c r="I92" s="19"/>
      <c r="J92" s="19"/>
      <c r="K92" s="19">
        <v>4216</v>
      </c>
      <c r="L92" s="19">
        <f>K98*10/100</f>
        <v>6.6</v>
      </c>
      <c r="M92" s="19"/>
      <c r="N92" s="19"/>
    </row>
    <row r="93" spans="1:17" ht="21">
      <c r="A93" s="57" t="s">
        <v>76</v>
      </c>
      <c r="B93" s="58" t="s">
        <v>21</v>
      </c>
      <c r="C93" s="16">
        <v>1</v>
      </c>
      <c r="D93" s="31"/>
      <c r="E93" s="31"/>
      <c r="F93" s="31"/>
      <c r="G93" s="18">
        <v>5135.8</v>
      </c>
      <c r="H93" s="19">
        <v>1736.25</v>
      </c>
      <c r="I93" s="19">
        <v>3356.31</v>
      </c>
      <c r="J93" s="32">
        <f>J96+J105+J111+J112</f>
        <v>3858.1299999999997</v>
      </c>
      <c r="K93" s="32">
        <f>K96+K105+K111+K112</f>
        <v>2476.502688</v>
      </c>
      <c r="L93" s="19">
        <v>4582</v>
      </c>
      <c r="M93" s="32">
        <v>5002</v>
      </c>
      <c r="N93" s="19">
        <v>5465</v>
      </c>
    </row>
    <row r="94" spans="1:17" ht="12.75">
      <c r="A94" s="14" t="s">
        <v>14</v>
      </c>
      <c r="B94" s="20" t="s">
        <v>15</v>
      </c>
      <c r="C94" s="16"/>
      <c r="D94" s="31"/>
      <c r="E94" s="31"/>
      <c r="F94" s="31"/>
      <c r="G94" s="18"/>
      <c r="H94" s="21">
        <f>H93/G93*100/H95*100</f>
        <v>31.624702636723356</v>
      </c>
      <c r="I94" s="21">
        <f t="shared" ref="I94" si="12">I93/H93*100/I95*100</f>
        <v>179.98881877159323</v>
      </c>
      <c r="J94" s="21">
        <f>J93/I93/J95*10000</f>
        <v>102.7270232720176</v>
      </c>
      <c r="K94" s="21">
        <f>K93/J93/K95*10000</f>
        <v>60.55584675907857</v>
      </c>
      <c r="L94" s="21">
        <f>L93/K93/L95*10000</f>
        <v>176.20855188062382</v>
      </c>
      <c r="M94" s="21">
        <f>M93/L93/M95*10000</f>
        <v>104.46536165022691</v>
      </c>
      <c r="N94" s="21">
        <f t="shared" ref="N94" si="13">N93/M93/N95*10000</f>
        <v>104.85249278407639</v>
      </c>
    </row>
    <row r="95" spans="1:17" ht="12.75">
      <c r="A95" s="14" t="s">
        <v>16</v>
      </c>
      <c r="B95" s="20" t="s">
        <v>15</v>
      </c>
      <c r="C95" s="16"/>
      <c r="D95" s="31"/>
      <c r="E95" s="31"/>
      <c r="F95" s="31"/>
      <c r="G95" s="18"/>
      <c r="H95" s="21">
        <v>106.9</v>
      </c>
      <c r="I95" s="21">
        <v>107.4</v>
      </c>
      <c r="J95" s="21">
        <v>111.9</v>
      </c>
      <c r="K95" s="21">
        <v>106</v>
      </c>
      <c r="L95" s="21">
        <v>105</v>
      </c>
      <c r="M95" s="21">
        <v>104.5</v>
      </c>
      <c r="N95" s="21">
        <v>104.2</v>
      </c>
    </row>
    <row r="96" spans="1:17" ht="31.5">
      <c r="A96" s="36" t="s">
        <v>77</v>
      </c>
      <c r="B96" s="58" t="s">
        <v>49</v>
      </c>
      <c r="C96" s="16">
        <v>1</v>
      </c>
      <c r="D96" s="31"/>
      <c r="E96" s="31"/>
      <c r="F96" s="31"/>
      <c r="G96" s="18">
        <v>556.29999999999995</v>
      </c>
      <c r="H96" s="19">
        <v>37.64</v>
      </c>
      <c r="I96" s="19">
        <v>64.709999999999994</v>
      </c>
      <c r="J96" s="19">
        <v>1587.03</v>
      </c>
      <c r="K96" s="19">
        <f>K98+K99</f>
        <v>105</v>
      </c>
      <c r="L96" s="19">
        <v>37.64</v>
      </c>
      <c r="M96" s="19">
        <v>37.64</v>
      </c>
      <c r="N96" s="19">
        <v>37.64</v>
      </c>
      <c r="O96" s="37"/>
      <c r="P96" s="37"/>
      <c r="Q96" s="37"/>
    </row>
    <row r="97" spans="1:15" ht="12.75">
      <c r="A97" s="36" t="s">
        <v>78</v>
      </c>
      <c r="B97" s="15"/>
      <c r="C97" s="16"/>
      <c r="D97" s="31"/>
      <c r="E97" s="31"/>
      <c r="F97" s="31"/>
      <c r="G97" s="18"/>
      <c r="H97" s="19"/>
      <c r="I97" s="19"/>
      <c r="J97" s="19"/>
      <c r="K97" s="19"/>
      <c r="L97" s="19"/>
      <c r="M97" s="19"/>
      <c r="N97" s="19"/>
    </row>
    <row r="98" spans="1:15" ht="12.75">
      <c r="A98" s="59" t="s">
        <v>79</v>
      </c>
      <c r="B98" s="58" t="s">
        <v>49</v>
      </c>
      <c r="C98" s="16">
        <v>1</v>
      </c>
      <c r="D98" s="31"/>
      <c r="E98" s="31"/>
      <c r="F98" s="31"/>
      <c r="G98" s="18"/>
      <c r="H98" s="19"/>
      <c r="I98" s="19"/>
      <c r="J98" s="19">
        <f>J96-J99</f>
        <v>1548.33</v>
      </c>
      <c r="K98" s="19">
        <v>66</v>
      </c>
      <c r="L98" s="19">
        <f>K9810/100</f>
        <v>0</v>
      </c>
      <c r="M98" s="19"/>
      <c r="N98" s="19"/>
    </row>
    <row r="99" spans="1:15" ht="12.75">
      <c r="A99" s="59" t="s">
        <v>80</v>
      </c>
      <c r="B99" s="58" t="s">
        <v>49</v>
      </c>
      <c r="C99" s="16">
        <v>1</v>
      </c>
      <c r="D99" s="31"/>
      <c r="E99" s="31"/>
      <c r="F99" s="31"/>
      <c r="G99" s="18"/>
      <c r="H99" s="19"/>
      <c r="I99" s="19">
        <v>37.6</v>
      </c>
      <c r="J99" s="19">
        <v>38.700000000000003</v>
      </c>
      <c r="K99" s="19">
        <v>39</v>
      </c>
      <c r="L99" s="19">
        <v>38.81</v>
      </c>
      <c r="M99" s="19">
        <v>39.5</v>
      </c>
      <c r="N99" s="19">
        <v>39.5</v>
      </c>
    </row>
    <row r="100" spans="1:15" ht="21">
      <c r="A100" s="36" t="s">
        <v>81</v>
      </c>
      <c r="B100" s="58" t="s">
        <v>49</v>
      </c>
      <c r="C100" s="16">
        <v>1</v>
      </c>
      <c r="D100" s="31"/>
      <c r="E100" s="31"/>
      <c r="F100" s="31"/>
      <c r="G100" s="18">
        <f>G102+G105+G111</f>
        <v>4569.4400000000005</v>
      </c>
      <c r="H100" s="19">
        <f t="shared" ref="H100:N100" si="14">H102+H105+H111+H112</f>
        <v>1698.6</v>
      </c>
      <c r="I100" s="19">
        <f t="shared" si="14"/>
        <v>2412.0600000000004</v>
      </c>
      <c r="J100" s="19">
        <f>J102+J105+J111+J112</f>
        <v>2271.1</v>
      </c>
      <c r="K100" s="19">
        <f>K102+K105+K111+K112</f>
        <v>2386.502688</v>
      </c>
      <c r="L100" s="19">
        <f t="shared" si="14"/>
        <v>1759.7</v>
      </c>
      <c r="M100" s="19">
        <f t="shared" si="14"/>
        <v>1775.7</v>
      </c>
      <c r="N100" s="19">
        <f t="shared" si="14"/>
        <v>1775.7</v>
      </c>
      <c r="O100" s="60"/>
    </row>
    <row r="101" spans="1:15" ht="12.75">
      <c r="A101" s="36" t="s">
        <v>78</v>
      </c>
      <c r="B101" s="15"/>
      <c r="C101" s="16"/>
      <c r="D101" s="31"/>
      <c r="E101" s="31"/>
      <c r="F101" s="31"/>
      <c r="G101" s="18"/>
      <c r="H101" s="19"/>
      <c r="I101" s="19"/>
      <c r="J101" s="19"/>
      <c r="K101" s="19"/>
      <c r="L101" s="19"/>
      <c r="M101" s="19"/>
      <c r="N101" s="19"/>
    </row>
    <row r="102" spans="1:15" ht="12.75">
      <c r="A102" s="59" t="s">
        <v>82</v>
      </c>
      <c r="B102" s="58" t="s">
        <v>49</v>
      </c>
      <c r="C102" s="16">
        <v>1</v>
      </c>
      <c r="D102" s="31"/>
      <c r="E102" s="31"/>
      <c r="F102" s="31"/>
      <c r="G102" s="18">
        <v>219.57</v>
      </c>
      <c r="H102" s="19">
        <v>34.173000000000002</v>
      </c>
      <c r="I102" s="19">
        <v>42.65</v>
      </c>
      <c r="J102" s="19"/>
      <c r="K102" s="19">
        <v>15</v>
      </c>
      <c r="L102" s="19">
        <v>47</v>
      </c>
      <c r="M102" s="19">
        <v>47</v>
      </c>
      <c r="N102" s="19">
        <v>47</v>
      </c>
    </row>
    <row r="103" spans="1:15" ht="14.25" customHeight="1">
      <c r="A103" s="61" t="s">
        <v>83</v>
      </c>
      <c r="B103" s="58" t="s">
        <v>49</v>
      </c>
      <c r="C103" s="16">
        <v>1</v>
      </c>
      <c r="D103" s="31"/>
      <c r="E103" s="31"/>
      <c r="F103" s="31"/>
      <c r="G103" s="18"/>
      <c r="H103" s="19"/>
      <c r="I103" s="19"/>
      <c r="J103" s="19"/>
      <c r="K103" s="19"/>
      <c r="L103" s="19"/>
      <c r="M103" s="19"/>
      <c r="N103" s="19"/>
    </row>
    <row r="104" spans="1:15" ht="12.75">
      <c r="A104" s="59" t="s">
        <v>84</v>
      </c>
      <c r="B104" s="58" t="s">
        <v>49</v>
      </c>
      <c r="C104" s="16">
        <v>1</v>
      </c>
      <c r="D104" s="31"/>
      <c r="E104" s="31"/>
      <c r="F104" s="31"/>
      <c r="G104" s="18"/>
      <c r="H104" s="19"/>
      <c r="I104" s="19"/>
      <c r="J104" s="19"/>
      <c r="K104" s="19"/>
      <c r="L104" s="19"/>
      <c r="M104" s="19"/>
      <c r="N104" s="19"/>
    </row>
    <row r="105" spans="1:15" ht="12.75">
      <c r="A105" s="59" t="s">
        <v>85</v>
      </c>
      <c r="B105" s="58" t="s">
        <v>49</v>
      </c>
      <c r="C105" s="16">
        <v>1</v>
      </c>
      <c r="D105" s="31"/>
      <c r="E105" s="31"/>
      <c r="F105" s="31"/>
      <c r="G105" s="18">
        <f t="shared" ref="G105:N105" si="15">G107+G109+G110</f>
        <v>1543.18</v>
      </c>
      <c r="H105" s="19">
        <f t="shared" si="15"/>
        <v>1116.6869999999999</v>
      </c>
      <c r="I105" s="19">
        <v>1378.99</v>
      </c>
      <c r="J105" s="19">
        <f>J107+J109+J110</f>
        <v>321.11</v>
      </c>
      <c r="K105" s="19">
        <f>K107+K109+K110</f>
        <v>241</v>
      </c>
      <c r="L105" s="19">
        <f t="shared" si="15"/>
        <v>1066</v>
      </c>
      <c r="M105" s="19">
        <f t="shared" si="15"/>
        <v>1082</v>
      </c>
      <c r="N105" s="19">
        <f t="shared" si="15"/>
        <v>1082</v>
      </c>
    </row>
    <row r="106" spans="1:15" ht="12.75">
      <c r="A106" s="59" t="s">
        <v>31</v>
      </c>
      <c r="B106" s="15"/>
      <c r="C106" s="16"/>
      <c r="D106" s="31"/>
      <c r="E106" s="31"/>
      <c r="F106" s="31"/>
      <c r="G106" s="18"/>
      <c r="H106" s="19"/>
      <c r="I106" s="19"/>
      <c r="J106" s="19"/>
      <c r="K106" s="19"/>
      <c r="L106" s="19"/>
      <c r="M106" s="19"/>
      <c r="N106" s="19"/>
    </row>
    <row r="107" spans="1:15" ht="12.75">
      <c r="A107" s="61" t="s">
        <v>86</v>
      </c>
      <c r="B107" s="58" t="s">
        <v>49</v>
      </c>
      <c r="C107" s="16">
        <v>1</v>
      </c>
      <c r="D107" s="31"/>
      <c r="E107" s="31"/>
      <c r="F107" s="31"/>
      <c r="G107" s="18">
        <v>1443.8</v>
      </c>
      <c r="H107" s="19">
        <v>930.21699999999998</v>
      </c>
      <c r="I107" s="19">
        <v>1225.5999999999999</v>
      </c>
      <c r="J107" s="19">
        <v>81.16</v>
      </c>
      <c r="K107" s="19"/>
      <c r="L107" s="19">
        <v>766</v>
      </c>
      <c r="M107" s="19">
        <v>780</v>
      </c>
      <c r="N107" s="19">
        <v>780</v>
      </c>
      <c r="O107" s="37"/>
    </row>
    <row r="108" spans="1:15" ht="21">
      <c r="A108" s="62" t="s">
        <v>87</v>
      </c>
      <c r="B108" s="58" t="s">
        <v>49</v>
      </c>
      <c r="C108" s="16">
        <v>1</v>
      </c>
      <c r="D108" s="31"/>
      <c r="E108" s="31"/>
      <c r="F108" s="31"/>
      <c r="G108" s="18"/>
      <c r="H108" s="19"/>
      <c r="I108" s="19"/>
      <c r="J108" s="19"/>
      <c r="K108" s="19"/>
      <c r="L108" s="19"/>
      <c r="M108" s="19"/>
      <c r="N108" s="19"/>
      <c r="O108" s="37"/>
    </row>
    <row r="109" spans="1:15" ht="12.75">
      <c r="A109" s="61" t="s">
        <v>88</v>
      </c>
      <c r="B109" s="58" t="s">
        <v>49</v>
      </c>
      <c r="C109" s="16">
        <v>1</v>
      </c>
      <c r="D109" s="31"/>
      <c r="E109" s="31"/>
      <c r="F109" s="31"/>
      <c r="G109" s="18">
        <v>64.209999999999994</v>
      </c>
      <c r="H109" s="19">
        <v>182.47</v>
      </c>
      <c r="I109" s="19">
        <v>57.89</v>
      </c>
      <c r="J109" s="19">
        <v>99.72</v>
      </c>
      <c r="K109" s="19">
        <v>195</v>
      </c>
      <c r="L109" s="19">
        <v>285</v>
      </c>
      <c r="M109" s="19">
        <v>289</v>
      </c>
      <c r="N109" s="19">
        <v>289</v>
      </c>
    </row>
    <row r="110" spans="1:15" ht="12.75">
      <c r="A110" s="59" t="s">
        <v>89</v>
      </c>
      <c r="B110" s="58" t="s">
        <v>49</v>
      </c>
      <c r="C110" s="16">
        <v>1</v>
      </c>
      <c r="D110" s="31"/>
      <c r="E110" s="31"/>
      <c r="F110" s="31"/>
      <c r="G110" s="18">
        <v>35.17</v>
      </c>
      <c r="H110" s="19">
        <v>4</v>
      </c>
      <c r="I110" s="19">
        <v>95.51</v>
      </c>
      <c r="J110" s="19">
        <v>140.22999999999999</v>
      </c>
      <c r="K110" s="19">
        <v>46</v>
      </c>
      <c r="L110" s="19">
        <v>15</v>
      </c>
      <c r="M110" s="19">
        <v>13</v>
      </c>
      <c r="N110" s="19">
        <v>13</v>
      </c>
    </row>
    <row r="111" spans="1:15" ht="12.75">
      <c r="A111" s="59" t="s">
        <v>90</v>
      </c>
      <c r="B111" s="58" t="s">
        <v>49</v>
      </c>
      <c r="C111" s="16">
        <v>1</v>
      </c>
      <c r="D111" s="31"/>
      <c r="E111" s="31"/>
      <c r="F111" s="31"/>
      <c r="G111" s="18">
        <f>447.39+2359.3</f>
        <v>2806.69</v>
      </c>
      <c r="H111" s="19">
        <v>132.78</v>
      </c>
      <c r="I111" s="19">
        <v>461.87</v>
      </c>
      <c r="J111" s="19">
        <v>1342.1</v>
      </c>
      <c r="K111" s="19">
        <v>1556</v>
      </c>
      <c r="L111" s="19">
        <v>137.69999999999999</v>
      </c>
      <c r="M111" s="19">
        <v>137.69999999999999</v>
      </c>
      <c r="N111" s="19">
        <v>137.69999999999999</v>
      </c>
    </row>
    <row r="112" spans="1:15" ht="12.75">
      <c r="A112" s="59" t="s">
        <v>91</v>
      </c>
      <c r="B112" s="58" t="s">
        <v>49</v>
      </c>
      <c r="C112" s="16">
        <v>1</v>
      </c>
      <c r="D112" s="31"/>
      <c r="E112" s="31"/>
      <c r="F112" s="31"/>
      <c r="G112" s="18"/>
      <c r="H112" s="19">
        <v>414.96</v>
      </c>
      <c r="I112" s="19">
        <v>528.54999999999995</v>
      </c>
      <c r="J112" s="19">
        <v>607.89</v>
      </c>
      <c r="K112" s="19">
        <f>26.064*22.042</f>
        <v>574.50268800000003</v>
      </c>
      <c r="L112" s="19">
        <f>'[1]Объем инвестиций'!$C$6/1000</f>
        <v>509</v>
      </c>
      <c r="M112" s="19">
        <f>'[1]Объем инвестиций'!$C$6/1000</f>
        <v>509</v>
      </c>
      <c r="N112" s="19">
        <f>'[1]Объем инвестиций'!$C$6/1000</f>
        <v>509</v>
      </c>
    </row>
    <row r="113" spans="1:17" ht="14.25">
      <c r="A113" s="24" t="s">
        <v>92</v>
      </c>
      <c r="B113" s="15"/>
      <c r="C113" s="16"/>
      <c r="D113" s="31"/>
      <c r="E113" s="31"/>
      <c r="F113" s="31"/>
      <c r="G113" s="18"/>
      <c r="H113" s="19"/>
      <c r="I113" s="19"/>
      <c r="J113" s="19"/>
      <c r="K113" s="19"/>
      <c r="L113" s="19"/>
      <c r="M113" s="19"/>
      <c r="N113" s="19"/>
    </row>
    <row r="114" spans="1:17" ht="12.75">
      <c r="A114" s="14" t="s">
        <v>93</v>
      </c>
      <c r="B114" s="15" t="s">
        <v>94</v>
      </c>
      <c r="C114" s="16">
        <v>1</v>
      </c>
      <c r="D114" s="31"/>
      <c r="E114" s="31"/>
      <c r="F114" s="31"/>
      <c r="G114" s="18">
        <v>110</v>
      </c>
      <c r="H114" s="19">
        <v>178.2</v>
      </c>
      <c r="I114" s="19">
        <v>152.19999999999999</v>
      </c>
      <c r="J114" s="19">
        <v>184.5</v>
      </c>
      <c r="K114" s="19">
        <v>164</v>
      </c>
      <c r="L114" s="219">
        <f>K114*1.01</f>
        <v>165.64000000000001</v>
      </c>
      <c r="M114" s="219">
        <f t="shared" ref="M114:N114" si="16">L114*1.01</f>
        <v>167.29640000000001</v>
      </c>
      <c r="N114" s="219">
        <f t="shared" si="16"/>
        <v>168.96936400000001</v>
      </c>
    </row>
    <row r="115" spans="1:17" ht="12.75">
      <c r="A115" s="14" t="s">
        <v>95</v>
      </c>
      <c r="B115" s="15" t="s">
        <v>94</v>
      </c>
      <c r="C115" s="16">
        <v>1</v>
      </c>
      <c r="D115" s="31"/>
      <c r="E115" s="31"/>
      <c r="F115" s="31"/>
      <c r="G115" s="18">
        <v>438</v>
      </c>
      <c r="H115" s="19">
        <v>972.9</v>
      </c>
      <c r="I115" s="19">
        <v>1669.2</v>
      </c>
      <c r="J115" s="19">
        <v>948.9</v>
      </c>
      <c r="K115" s="19">
        <v>957</v>
      </c>
      <c r="L115" s="219">
        <f>K115*1.01</f>
        <v>966.57</v>
      </c>
      <c r="M115" s="219">
        <f t="shared" ref="M115:N115" si="17">L115*1.01</f>
        <v>976.23570000000007</v>
      </c>
      <c r="N115" s="219">
        <f t="shared" si="17"/>
        <v>985.99805700000013</v>
      </c>
    </row>
    <row r="116" spans="1:17" ht="22.5">
      <c r="A116" s="14" t="s">
        <v>96</v>
      </c>
      <c r="B116" s="63" t="s">
        <v>97</v>
      </c>
      <c r="C116" s="16">
        <v>1</v>
      </c>
      <c r="D116" s="31"/>
      <c r="E116" s="31"/>
      <c r="F116" s="31"/>
      <c r="G116" s="18">
        <v>18.04</v>
      </c>
      <c r="H116" s="19">
        <v>20.6</v>
      </c>
      <c r="I116" s="19">
        <v>34.97</v>
      </c>
      <c r="J116" s="19">
        <v>13.9</v>
      </c>
      <c r="K116" s="222">
        <v>22.04</v>
      </c>
      <c r="L116" s="19">
        <v>20.6</v>
      </c>
      <c r="M116" s="19">
        <v>20.6</v>
      </c>
      <c r="N116" s="19">
        <v>20.6</v>
      </c>
    </row>
    <row r="117" spans="1:17" ht="14.25">
      <c r="A117" s="64" t="s">
        <v>98</v>
      </c>
      <c r="B117" s="15"/>
      <c r="C117" s="16"/>
      <c r="D117" s="31"/>
      <c r="E117" s="31"/>
      <c r="F117" s="31"/>
      <c r="G117" s="18"/>
      <c r="H117" s="19"/>
      <c r="I117" s="19"/>
      <c r="J117" s="19"/>
      <c r="K117" s="19"/>
      <c r="L117" s="19"/>
      <c r="M117" s="19"/>
      <c r="N117" s="19"/>
    </row>
    <row r="118" spans="1:17" ht="12.75">
      <c r="A118" s="65" t="s">
        <v>99</v>
      </c>
      <c r="B118" s="15" t="s">
        <v>94</v>
      </c>
      <c r="C118" s="16"/>
      <c r="D118" s="31"/>
      <c r="E118" s="31"/>
      <c r="F118" s="31"/>
      <c r="G118" s="18">
        <v>597.36099999999999</v>
      </c>
      <c r="H118" s="19">
        <f t="shared" ref="H118:N118" si="18">H119+H135+H140</f>
        <v>758.60540000000003</v>
      </c>
      <c r="I118" s="19">
        <f t="shared" si="18"/>
        <v>805.01209999999992</v>
      </c>
      <c r="J118" s="19">
        <f t="shared" si="18"/>
        <v>734.56050000000005</v>
      </c>
      <c r="K118" s="19">
        <f>K119+K135+K140</f>
        <v>664.52500000000009</v>
      </c>
      <c r="L118" s="19">
        <f>L119+L135+L140</f>
        <v>664.52500000000009</v>
      </c>
      <c r="M118" s="19">
        <f t="shared" si="18"/>
        <v>686.83999999999992</v>
      </c>
      <c r="N118" s="19">
        <f t="shared" si="18"/>
        <v>686.83999999999992</v>
      </c>
      <c r="O118" s="60">
        <f>J118-K118</f>
        <v>70.035499999999956</v>
      </c>
    </row>
    <row r="119" spans="1:17" ht="12.75">
      <c r="A119" s="14" t="s">
        <v>100</v>
      </c>
      <c r="B119" s="15" t="s">
        <v>94</v>
      </c>
      <c r="C119" s="16">
        <v>1</v>
      </c>
      <c r="D119" s="31"/>
      <c r="E119" s="31"/>
      <c r="F119" s="31"/>
      <c r="G119" s="18">
        <v>45.615000000000002</v>
      </c>
      <c r="H119" s="19">
        <f>H121+H122+H128+H134</f>
        <v>43.401000000000003</v>
      </c>
      <c r="I119" s="19">
        <f>I121+I122+I128+I134</f>
        <v>92.16</v>
      </c>
      <c r="J119" s="19">
        <f>J121+J122+J128+J134+J127</f>
        <v>85.5</v>
      </c>
      <c r="K119" s="19">
        <f>K121+K122+K128+K134+K127</f>
        <v>92.72</v>
      </c>
      <c r="L119" s="19">
        <f>L121+L122+L128+L134+L127</f>
        <v>92.72</v>
      </c>
      <c r="M119" s="66">
        <v>90.52</v>
      </c>
      <c r="N119" s="66">
        <v>90.52</v>
      </c>
      <c r="O119" s="37">
        <f>I119-92.209</f>
        <v>-4.9000000000006594E-2</v>
      </c>
      <c r="P119" s="37"/>
      <c r="Q119" s="60"/>
    </row>
    <row r="120" spans="1:17" ht="12.75">
      <c r="A120" s="14" t="s">
        <v>101</v>
      </c>
      <c r="B120" s="15" t="s">
        <v>94</v>
      </c>
      <c r="C120" s="16">
        <v>1</v>
      </c>
      <c r="D120" s="31"/>
      <c r="E120" s="31"/>
      <c r="F120" s="31"/>
      <c r="G120" s="18">
        <v>26.427</v>
      </c>
      <c r="H120" s="19"/>
      <c r="I120" s="19"/>
      <c r="J120" s="66"/>
      <c r="K120" s="66"/>
      <c r="L120" s="66"/>
      <c r="M120" s="66"/>
      <c r="N120" s="66"/>
    </row>
    <row r="121" spans="1:17" ht="12.75">
      <c r="A121" s="14" t="s">
        <v>102</v>
      </c>
      <c r="B121" s="15" t="s">
        <v>94</v>
      </c>
      <c r="C121" s="16">
        <v>1</v>
      </c>
      <c r="D121" s="31"/>
      <c r="E121" s="31"/>
      <c r="F121" s="31"/>
      <c r="G121" s="18">
        <v>26.427</v>
      </c>
      <c r="H121" s="19">
        <v>30.425999999999998</v>
      </c>
      <c r="I121" s="19">
        <v>54.1</v>
      </c>
      <c r="J121" s="66">
        <v>49.85</v>
      </c>
      <c r="K121" s="66">
        <v>58</v>
      </c>
      <c r="L121" s="66">
        <v>58</v>
      </c>
      <c r="M121" s="66"/>
      <c r="N121" s="66"/>
    </row>
    <row r="122" spans="1:17" ht="12.75">
      <c r="A122" s="14" t="s">
        <v>103</v>
      </c>
      <c r="B122" s="15" t="s">
        <v>94</v>
      </c>
      <c r="C122" s="16">
        <v>1</v>
      </c>
      <c r="D122" s="31"/>
      <c r="E122" s="31"/>
      <c r="F122" s="31"/>
      <c r="G122" s="18">
        <v>7.6130000000000004</v>
      </c>
      <c r="H122" s="19">
        <f>H123+H125</f>
        <v>10.61</v>
      </c>
      <c r="I122" s="19">
        <v>14.65</v>
      </c>
      <c r="J122" s="19">
        <v>14.29</v>
      </c>
      <c r="K122" s="19">
        <v>12.57</v>
      </c>
      <c r="L122" s="19">
        <v>12.57</v>
      </c>
      <c r="M122" s="19">
        <f>M123+M125</f>
        <v>14.8</v>
      </c>
      <c r="N122" s="19">
        <f>N123+N125</f>
        <v>14.8</v>
      </c>
      <c r="O122" s="60"/>
    </row>
    <row r="123" spans="1:17" ht="12.75">
      <c r="A123" s="14" t="s">
        <v>104</v>
      </c>
      <c r="B123" s="15" t="s">
        <v>94</v>
      </c>
      <c r="C123" s="16"/>
      <c r="D123" s="31"/>
      <c r="E123" s="31"/>
      <c r="F123" s="31"/>
      <c r="G123" s="18">
        <v>1.7030000000000001</v>
      </c>
      <c r="H123" s="19">
        <v>3.85</v>
      </c>
      <c r="I123" s="19">
        <v>4.17</v>
      </c>
      <c r="J123" s="66">
        <v>5.01</v>
      </c>
      <c r="K123" s="66">
        <v>4.3</v>
      </c>
      <c r="L123" s="66">
        <v>4.3</v>
      </c>
      <c r="M123" s="66">
        <v>4.3</v>
      </c>
      <c r="N123" s="66">
        <v>4.3</v>
      </c>
    </row>
    <row r="124" spans="1:17" ht="12.75">
      <c r="A124" s="14" t="s">
        <v>105</v>
      </c>
      <c r="B124" s="15" t="s">
        <v>94</v>
      </c>
      <c r="C124" s="16">
        <v>1</v>
      </c>
      <c r="D124" s="31"/>
      <c r="E124" s="31"/>
      <c r="F124" s="31"/>
      <c r="G124" s="18">
        <v>1.01</v>
      </c>
      <c r="H124" s="19"/>
      <c r="I124" s="19"/>
      <c r="J124" s="66"/>
      <c r="K124" s="66"/>
      <c r="L124" s="66"/>
      <c r="M124" s="66"/>
      <c r="N124" s="66"/>
    </row>
    <row r="125" spans="1:17" ht="12.75">
      <c r="A125" s="14" t="s">
        <v>106</v>
      </c>
      <c r="B125" s="15" t="s">
        <v>94</v>
      </c>
      <c r="C125" s="16"/>
      <c r="D125" s="31"/>
      <c r="E125" s="31"/>
      <c r="F125" s="31"/>
      <c r="G125" s="18">
        <v>4.9000000000000004</v>
      </c>
      <c r="H125" s="19">
        <v>6.76</v>
      </c>
      <c r="I125" s="19">
        <v>10.48</v>
      </c>
      <c r="J125" s="66">
        <v>9.2799999999999994</v>
      </c>
      <c r="K125" s="66">
        <v>8.27</v>
      </c>
      <c r="L125" s="66">
        <v>8.27</v>
      </c>
      <c r="M125" s="66">
        <v>10.5</v>
      </c>
      <c r="N125" s="66">
        <v>10.5</v>
      </c>
    </row>
    <row r="126" spans="1:17" ht="21">
      <c r="A126" s="14" t="s">
        <v>107</v>
      </c>
      <c r="B126" s="15" t="s">
        <v>94</v>
      </c>
      <c r="C126" s="16">
        <v>1</v>
      </c>
      <c r="D126" s="31"/>
      <c r="E126" s="31"/>
      <c r="F126" s="31"/>
      <c r="G126" s="18"/>
      <c r="H126" s="19"/>
      <c r="I126" s="19"/>
      <c r="J126" s="66"/>
      <c r="K126" s="66"/>
      <c r="L126" s="66"/>
      <c r="M126" s="66"/>
      <c r="N126" s="66"/>
    </row>
    <row r="127" spans="1:17" ht="21">
      <c r="A127" s="14" t="s">
        <v>108</v>
      </c>
      <c r="B127" s="15" t="s">
        <v>94</v>
      </c>
      <c r="C127" s="16">
        <v>1</v>
      </c>
      <c r="D127" s="31"/>
      <c r="E127" s="31"/>
      <c r="F127" s="31"/>
      <c r="G127" s="18"/>
      <c r="H127" s="19"/>
      <c r="I127" s="19">
        <v>19</v>
      </c>
      <c r="J127" s="66">
        <v>15.56</v>
      </c>
      <c r="K127" s="66">
        <v>10.68</v>
      </c>
      <c r="L127" s="66">
        <v>10.68</v>
      </c>
      <c r="M127" s="66">
        <v>25.3</v>
      </c>
      <c r="N127" s="66">
        <v>25.3</v>
      </c>
    </row>
    <row r="128" spans="1:17" ht="12.75">
      <c r="A128" s="14" t="s">
        <v>109</v>
      </c>
      <c r="B128" s="15" t="s">
        <v>94</v>
      </c>
      <c r="C128" s="16">
        <v>1</v>
      </c>
      <c r="D128" s="31"/>
      <c r="E128" s="31"/>
      <c r="F128" s="31"/>
      <c r="G128" s="18">
        <v>7.032</v>
      </c>
      <c r="H128" s="19">
        <f>H129+H131</f>
        <v>1.7430000000000001</v>
      </c>
      <c r="I128" s="19">
        <f>I129+I131</f>
        <v>2.3199999999999998</v>
      </c>
      <c r="J128" s="19">
        <f>J129+J131</f>
        <v>3.36</v>
      </c>
      <c r="K128" s="19">
        <v>9.32</v>
      </c>
      <c r="L128" s="19">
        <v>9.32</v>
      </c>
      <c r="M128" s="66">
        <v>3.5</v>
      </c>
      <c r="N128" s="66">
        <v>3.5</v>
      </c>
    </row>
    <row r="129" spans="1:16" ht="21">
      <c r="A129" s="14" t="s">
        <v>110</v>
      </c>
      <c r="B129" s="15" t="s">
        <v>94</v>
      </c>
      <c r="C129" s="16">
        <v>1</v>
      </c>
      <c r="D129" s="31"/>
      <c r="E129" s="31"/>
      <c r="F129" s="31"/>
      <c r="G129" s="18">
        <v>1.6759999999999999</v>
      </c>
      <c r="H129" s="19">
        <v>1.4470000000000001</v>
      </c>
      <c r="I129" s="19">
        <v>1.99</v>
      </c>
      <c r="J129" s="66">
        <v>2.88</v>
      </c>
      <c r="K129" s="66">
        <v>2.29</v>
      </c>
      <c r="L129" s="66">
        <v>2.29</v>
      </c>
      <c r="M129" s="66"/>
      <c r="N129" s="66"/>
    </row>
    <row r="130" spans="1:16" ht="21">
      <c r="A130" s="14" t="s">
        <v>111</v>
      </c>
      <c r="B130" s="15" t="s">
        <v>94</v>
      </c>
      <c r="C130" s="16">
        <v>1</v>
      </c>
      <c r="D130" s="31"/>
      <c r="E130" s="31"/>
      <c r="F130" s="31"/>
      <c r="G130" s="18">
        <v>4.2990000000000004</v>
      </c>
      <c r="H130" s="19"/>
      <c r="I130" s="19"/>
      <c r="J130" s="66"/>
      <c r="K130" s="66"/>
      <c r="L130" s="66"/>
      <c r="M130" s="66"/>
      <c r="N130" s="66"/>
    </row>
    <row r="131" spans="1:16" ht="12.75">
      <c r="A131" s="14" t="s">
        <v>112</v>
      </c>
      <c r="B131" s="15" t="s">
        <v>94</v>
      </c>
      <c r="C131" s="16"/>
      <c r="D131" s="31"/>
      <c r="E131" s="31"/>
      <c r="F131" s="31"/>
      <c r="G131" s="18">
        <v>1.0569999999999999</v>
      </c>
      <c r="H131" s="19">
        <v>0.29599999999999999</v>
      </c>
      <c r="I131" s="19">
        <v>0.33</v>
      </c>
      <c r="J131" s="66">
        <v>0.48</v>
      </c>
      <c r="K131" s="66">
        <v>0.44</v>
      </c>
      <c r="L131" s="66">
        <v>0.44</v>
      </c>
      <c r="M131" s="66">
        <v>0.2</v>
      </c>
      <c r="N131" s="66">
        <v>0.2</v>
      </c>
      <c r="P131" s="60"/>
    </row>
    <row r="132" spans="1:16" ht="21">
      <c r="A132" s="14" t="s">
        <v>113</v>
      </c>
      <c r="B132" s="15" t="s">
        <v>94</v>
      </c>
      <c r="C132" s="16">
        <v>1</v>
      </c>
      <c r="D132" s="31"/>
      <c r="E132" s="31"/>
      <c r="F132" s="31"/>
      <c r="G132" s="18">
        <v>0.124</v>
      </c>
      <c r="H132" s="19"/>
      <c r="I132" s="19"/>
      <c r="J132" s="66"/>
      <c r="K132" s="66"/>
      <c r="L132" s="66"/>
      <c r="M132" s="66"/>
      <c r="N132" s="66"/>
    </row>
    <row r="133" spans="1:16" ht="12.75">
      <c r="A133" s="14" t="s">
        <v>114</v>
      </c>
      <c r="B133" s="15" t="s">
        <v>94</v>
      </c>
      <c r="C133" s="16">
        <v>1</v>
      </c>
      <c r="D133" s="31"/>
      <c r="E133" s="31"/>
      <c r="F133" s="31"/>
      <c r="G133" s="18"/>
      <c r="H133" s="19"/>
      <c r="I133" s="19"/>
      <c r="J133" s="66"/>
      <c r="K133" s="66"/>
      <c r="L133" s="66"/>
      <c r="M133" s="66"/>
      <c r="N133" s="66"/>
    </row>
    <row r="134" spans="1:16" ht="12.75">
      <c r="A134" s="14" t="s">
        <v>115</v>
      </c>
      <c r="B134" s="15" t="s">
        <v>94</v>
      </c>
      <c r="C134" s="16">
        <v>1</v>
      </c>
      <c r="D134" s="31"/>
      <c r="E134" s="31"/>
      <c r="F134" s="31"/>
      <c r="G134" s="18">
        <v>4.4189999999999996</v>
      </c>
      <c r="H134" s="19">
        <v>0.622</v>
      </c>
      <c r="I134" s="19">
        <v>21.09</v>
      </c>
      <c r="J134" s="66">
        <f>18-J127</f>
        <v>2.4399999999999995</v>
      </c>
      <c r="K134" s="66">
        <v>2.15</v>
      </c>
      <c r="L134" s="66">
        <v>2.15</v>
      </c>
      <c r="M134" s="66">
        <f>90.22-78.17</f>
        <v>12.049999999999997</v>
      </c>
      <c r="N134" s="66">
        <f>90.22-78.17</f>
        <v>12.049999999999997</v>
      </c>
      <c r="O134" s="60"/>
    </row>
    <row r="135" spans="1:16" ht="12.75">
      <c r="A135" s="65" t="s">
        <v>116</v>
      </c>
      <c r="B135" s="15" t="s">
        <v>94</v>
      </c>
      <c r="C135" s="16">
        <v>1</v>
      </c>
      <c r="D135" s="31"/>
      <c r="E135" s="31"/>
      <c r="F135" s="31"/>
      <c r="G135" s="18">
        <v>8.8320000000000007</v>
      </c>
      <c r="H135" s="19">
        <f>H136+H138+H139</f>
        <v>21.402699999999999</v>
      </c>
      <c r="I135" s="19">
        <f>I136+I138+I139</f>
        <v>18.6921</v>
      </c>
      <c r="J135" s="66">
        <f>J136+J139</f>
        <v>15.665500000000002</v>
      </c>
      <c r="K135" s="19">
        <f>K136+K139</f>
        <v>11.385</v>
      </c>
      <c r="L135" s="19">
        <f>L136+L139</f>
        <v>11.385</v>
      </c>
      <c r="M135" s="66"/>
      <c r="N135" s="66"/>
      <c r="O135" s="60"/>
      <c r="P135" s="37"/>
    </row>
    <row r="136" spans="1:16" ht="21">
      <c r="A136" s="14" t="s">
        <v>117</v>
      </c>
      <c r="B136" s="15" t="s">
        <v>94</v>
      </c>
      <c r="C136" s="16">
        <v>1</v>
      </c>
      <c r="D136" s="31"/>
      <c r="E136" s="31"/>
      <c r="F136" s="31"/>
      <c r="G136" s="18">
        <v>2.8450000000000002</v>
      </c>
      <c r="H136" s="19">
        <v>6.4660000000000002</v>
      </c>
      <c r="I136" s="19">
        <v>7.16</v>
      </c>
      <c r="J136" s="66">
        <v>5.79</v>
      </c>
      <c r="K136" s="66">
        <v>4.49</v>
      </c>
      <c r="L136" s="66">
        <v>4.49</v>
      </c>
      <c r="M136" s="66"/>
      <c r="N136" s="66"/>
    </row>
    <row r="137" spans="1:16" ht="21">
      <c r="A137" s="14" t="s">
        <v>118</v>
      </c>
      <c r="B137" s="15" t="s">
        <v>94</v>
      </c>
      <c r="C137" s="16">
        <v>1</v>
      </c>
      <c r="D137" s="31"/>
      <c r="E137" s="31"/>
      <c r="F137" s="31"/>
      <c r="G137" s="18">
        <v>2.8450000000000002</v>
      </c>
      <c r="H137" s="19">
        <v>6.4660000000000002</v>
      </c>
      <c r="I137" s="19">
        <v>7.16</v>
      </c>
      <c r="J137" s="66">
        <v>5.79</v>
      </c>
      <c r="K137" s="66">
        <v>4.49</v>
      </c>
      <c r="L137" s="66">
        <v>4.49</v>
      </c>
      <c r="M137" s="66"/>
      <c r="N137" s="66"/>
    </row>
    <row r="138" spans="1:16" ht="21">
      <c r="A138" s="14" t="s">
        <v>119</v>
      </c>
      <c r="B138" s="15" t="s">
        <v>94</v>
      </c>
      <c r="C138" s="16">
        <v>1</v>
      </c>
      <c r="D138" s="31"/>
      <c r="E138" s="31"/>
      <c r="F138" s="31"/>
      <c r="G138" s="18">
        <v>0.29599999999999999</v>
      </c>
      <c r="H138" s="19">
        <f>9.7/1000</f>
        <v>9.6999999999999986E-3</v>
      </c>
      <c r="I138" s="19">
        <v>2.0999999999999999E-3</v>
      </c>
      <c r="J138" s="66"/>
      <c r="K138" s="66"/>
      <c r="L138" s="66"/>
      <c r="M138" s="66"/>
      <c r="N138" s="66"/>
    </row>
    <row r="139" spans="1:16" ht="12.75">
      <c r="A139" s="14" t="s">
        <v>120</v>
      </c>
      <c r="B139" s="15" t="s">
        <v>94</v>
      </c>
      <c r="C139" s="16">
        <v>1</v>
      </c>
      <c r="D139" s="31"/>
      <c r="E139" s="31"/>
      <c r="F139" s="31"/>
      <c r="G139" s="18">
        <v>50.691000000000003</v>
      </c>
      <c r="H139" s="19">
        <v>14.927</v>
      </c>
      <c r="I139" s="19">
        <v>11.53</v>
      </c>
      <c r="J139" s="66">
        <v>9.8755000000000006</v>
      </c>
      <c r="K139" s="19">
        <v>6.8949999999999996</v>
      </c>
      <c r="L139" s="19">
        <v>6.8949999999999996</v>
      </c>
      <c r="M139" s="66"/>
      <c r="N139" s="66"/>
    </row>
    <row r="140" spans="1:16" ht="12.75">
      <c r="A140" s="65" t="s">
        <v>121</v>
      </c>
      <c r="B140" s="15" t="s">
        <v>94</v>
      </c>
      <c r="C140" s="16">
        <v>1</v>
      </c>
      <c r="D140" s="31"/>
      <c r="E140" s="31"/>
      <c r="F140" s="31"/>
      <c r="G140" s="18">
        <v>542.91399999999999</v>
      </c>
      <c r="H140" s="19">
        <f>H141+H142+H143+H144+H145</f>
        <v>693.80169999999998</v>
      </c>
      <c r="I140" s="19">
        <f>I141+I142+I143+I144+I145</f>
        <v>694.16</v>
      </c>
      <c r="J140" s="19">
        <f>J141+J142+J143+J144+J145</f>
        <v>633.39499999999998</v>
      </c>
      <c r="K140" s="19">
        <f>K141+K142+K143+K144+K145</f>
        <v>560.42000000000007</v>
      </c>
      <c r="L140" s="19">
        <f>L141+L142+L143+L144+L145</f>
        <v>560.42000000000007</v>
      </c>
      <c r="M140" s="19">
        <f>M141+M142+M144+M145+M143</f>
        <v>596.31999999999994</v>
      </c>
      <c r="N140" s="19">
        <f>N141+N142+N144+N145+N143</f>
        <v>596.31999999999994</v>
      </c>
      <c r="O140" s="60"/>
      <c r="P140" s="60"/>
    </row>
    <row r="141" spans="1:16" ht="31.5" customHeight="1">
      <c r="A141" s="14" t="s">
        <v>122</v>
      </c>
      <c r="B141" s="15" t="s">
        <v>94</v>
      </c>
      <c r="C141" s="16">
        <v>1</v>
      </c>
      <c r="D141" s="31"/>
      <c r="E141" s="31"/>
      <c r="F141" s="31"/>
      <c r="G141" s="18">
        <v>154.71600000000001</v>
      </c>
      <c r="H141" s="19">
        <v>133.976</v>
      </c>
      <c r="I141" s="19">
        <v>79.61</v>
      </c>
      <c r="J141" s="66">
        <v>94.53</v>
      </c>
      <c r="K141" s="66">
        <v>94.7</v>
      </c>
      <c r="L141" s="66">
        <v>94.7</v>
      </c>
      <c r="M141" s="66">
        <v>101.48699999999999</v>
      </c>
      <c r="N141" s="66">
        <v>101.48699999999999</v>
      </c>
    </row>
    <row r="142" spans="1:16" ht="12.75">
      <c r="A142" s="14" t="s">
        <v>123</v>
      </c>
      <c r="B142" s="15" t="s">
        <v>94</v>
      </c>
      <c r="C142" s="16">
        <v>1</v>
      </c>
      <c r="D142" s="31"/>
      <c r="E142" s="31"/>
      <c r="F142" s="31"/>
      <c r="G142" s="18">
        <v>305.596</v>
      </c>
      <c r="H142" s="19">
        <v>452.17700000000002</v>
      </c>
      <c r="I142" s="19">
        <v>523.63</v>
      </c>
      <c r="J142" s="66">
        <v>452.41</v>
      </c>
      <c r="K142" s="66">
        <v>443.52</v>
      </c>
      <c r="L142" s="66">
        <v>443.52</v>
      </c>
      <c r="M142" s="66">
        <v>483.37</v>
      </c>
      <c r="N142" s="66">
        <v>483.37</v>
      </c>
    </row>
    <row r="143" spans="1:16" ht="31.5">
      <c r="A143" s="14" t="s">
        <v>124</v>
      </c>
      <c r="B143" s="15" t="s">
        <v>94</v>
      </c>
      <c r="C143" s="16">
        <v>1</v>
      </c>
      <c r="D143" s="31"/>
      <c r="E143" s="31"/>
      <c r="F143" s="31"/>
      <c r="G143" s="18">
        <v>55.786999999999999</v>
      </c>
      <c r="H143" s="19">
        <v>92.631</v>
      </c>
      <c r="I143" s="19">
        <v>26.17</v>
      </c>
      <c r="J143" s="66">
        <v>35</v>
      </c>
      <c r="K143" s="66"/>
      <c r="L143" s="66"/>
      <c r="M143" s="66"/>
      <c r="N143" s="66"/>
    </row>
    <row r="144" spans="1:16" ht="12.75">
      <c r="A144" s="14" t="s">
        <v>125</v>
      </c>
      <c r="B144" s="15" t="s">
        <v>94</v>
      </c>
      <c r="C144" s="16">
        <v>1</v>
      </c>
      <c r="D144" s="31"/>
      <c r="E144" s="31"/>
      <c r="F144" s="31"/>
      <c r="G144" s="18">
        <v>17.294</v>
      </c>
      <c r="H144" s="19">
        <v>15.081</v>
      </c>
      <c r="I144" s="19">
        <v>69.3</v>
      </c>
      <c r="J144" s="66">
        <v>53.424999999999997</v>
      </c>
      <c r="K144" s="66">
        <v>22.2</v>
      </c>
      <c r="L144" s="66">
        <v>22.2</v>
      </c>
      <c r="M144" s="66">
        <v>11.462999999999999</v>
      </c>
      <c r="N144" s="66">
        <v>11.462999999999999</v>
      </c>
    </row>
    <row r="145" spans="1:17" ht="12.75">
      <c r="A145" s="14" t="s">
        <v>126</v>
      </c>
      <c r="B145" s="15" t="s">
        <v>94</v>
      </c>
      <c r="C145" s="16"/>
      <c r="D145" s="31"/>
      <c r="E145" s="31"/>
      <c r="F145" s="31"/>
      <c r="G145" s="18">
        <v>549</v>
      </c>
      <c r="H145" s="19">
        <f>-63.3/1000</f>
        <v>-6.3299999999999995E-2</v>
      </c>
      <c r="I145" s="19">
        <v>-4.55</v>
      </c>
      <c r="J145" s="66">
        <v>-1.97</v>
      </c>
      <c r="K145" s="66"/>
      <c r="L145" s="66"/>
      <c r="M145" s="66"/>
      <c r="N145" s="66"/>
    </row>
    <row r="146" spans="1:17" ht="12.75">
      <c r="A146" s="65" t="s">
        <v>127</v>
      </c>
      <c r="B146" s="15" t="s">
        <v>94</v>
      </c>
      <c r="C146" s="16">
        <v>1</v>
      </c>
      <c r="D146" s="31"/>
      <c r="E146" s="31"/>
      <c r="F146" s="31"/>
      <c r="G146" s="18">
        <v>584.072</v>
      </c>
      <c r="H146" s="19">
        <f>H147+H151+H156+H158+H159+H160+H161+H167</f>
        <v>702.48799999999994</v>
      </c>
      <c r="I146" s="19">
        <f>I147+I151+I156+I158+I159+I160+I161+I167</f>
        <v>862.27700000000004</v>
      </c>
      <c r="J146" s="19">
        <f>J147+J151+J156+J158+J159+J160+J161+J167+J166</f>
        <v>783.404</v>
      </c>
      <c r="K146" s="19">
        <v>670.23</v>
      </c>
      <c r="L146" s="19">
        <v>670.23</v>
      </c>
      <c r="M146" s="66">
        <f>M147+M151+M156+M158+M159+M160+M161+M167+M166</f>
        <v>686.84300000000007</v>
      </c>
      <c r="N146" s="66">
        <f>N147+N151+N156+N158+N159+N160+N161+N167+N166</f>
        <v>686.84300000000007</v>
      </c>
      <c r="O146" s="60"/>
      <c r="P146" s="60"/>
      <c r="Q146" s="60"/>
    </row>
    <row r="147" spans="1:17" ht="12.75">
      <c r="A147" s="14" t="s">
        <v>128</v>
      </c>
      <c r="B147" s="15" t="s">
        <v>94</v>
      </c>
      <c r="C147" s="16"/>
      <c r="D147" s="31"/>
      <c r="E147" s="31"/>
      <c r="F147" s="31"/>
      <c r="G147" s="18">
        <v>54.616</v>
      </c>
      <c r="H147" s="19">
        <v>66.628</v>
      </c>
      <c r="I147" s="19">
        <v>76.239999999999995</v>
      </c>
      <c r="J147" s="19">
        <v>80.739999999999995</v>
      </c>
      <c r="K147" s="19">
        <v>71.53</v>
      </c>
      <c r="L147" s="19">
        <v>71.53</v>
      </c>
      <c r="M147" s="66">
        <v>28.81</v>
      </c>
      <c r="N147" s="66">
        <v>28.81</v>
      </c>
      <c r="O147" s="60"/>
      <c r="P147" s="60"/>
      <c r="Q147" s="60"/>
    </row>
    <row r="148" spans="1:17" ht="21">
      <c r="A148" s="14" t="s">
        <v>129</v>
      </c>
      <c r="B148" s="15" t="s">
        <v>94</v>
      </c>
      <c r="C148" s="16">
        <v>1</v>
      </c>
      <c r="D148" s="31"/>
      <c r="E148" s="31"/>
      <c r="F148" s="31"/>
      <c r="G148" s="18">
        <v>1.446</v>
      </c>
      <c r="H148" s="19">
        <v>1.7709999999999999</v>
      </c>
      <c r="I148" s="19">
        <v>1.65</v>
      </c>
      <c r="J148" s="19">
        <v>1.3492999999999999</v>
      </c>
      <c r="K148" s="19">
        <v>0.68</v>
      </c>
      <c r="L148" s="19">
        <v>0.68</v>
      </c>
      <c r="M148" s="66">
        <v>1.7490000000000001</v>
      </c>
      <c r="N148" s="66">
        <v>1.7490000000000001</v>
      </c>
      <c r="O148" s="37"/>
      <c r="P148" s="60"/>
    </row>
    <row r="149" spans="1:17" ht="12.75">
      <c r="A149" s="14" t="s">
        <v>130</v>
      </c>
      <c r="B149" s="15" t="s">
        <v>94</v>
      </c>
      <c r="C149" s="16">
        <v>1</v>
      </c>
      <c r="D149" s="31"/>
      <c r="E149" s="31"/>
      <c r="F149" s="31"/>
      <c r="G149" s="18">
        <v>34.590000000000003</v>
      </c>
      <c r="H149" s="19">
        <v>41.92</v>
      </c>
      <c r="I149" s="19">
        <v>48.17</v>
      </c>
      <c r="J149" s="19">
        <v>42.49</v>
      </c>
      <c r="K149" s="19">
        <v>41.1</v>
      </c>
      <c r="L149" s="19">
        <v>41.1</v>
      </c>
      <c r="M149" s="66">
        <v>1.24</v>
      </c>
      <c r="N149" s="66">
        <v>1.24</v>
      </c>
      <c r="O149" s="60"/>
    </row>
    <row r="150" spans="1:17" ht="21">
      <c r="A150" s="14" t="s">
        <v>131</v>
      </c>
      <c r="B150" s="15" t="s">
        <v>94</v>
      </c>
      <c r="C150" s="16"/>
      <c r="D150" s="31"/>
      <c r="E150" s="31"/>
      <c r="F150" s="31"/>
      <c r="G150" s="18">
        <v>0</v>
      </c>
      <c r="H150" s="19"/>
      <c r="I150" s="19"/>
      <c r="J150" s="19"/>
      <c r="K150" s="19"/>
      <c r="L150" s="19"/>
      <c r="M150" s="66"/>
      <c r="N150" s="66"/>
    </row>
    <row r="151" spans="1:17" ht="12.75">
      <c r="A151" s="14" t="s">
        <v>132</v>
      </c>
      <c r="B151" s="15" t="s">
        <v>94</v>
      </c>
      <c r="C151" s="16">
        <v>1</v>
      </c>
      <c r="D151" s="31"/>
      <c r="E151" s="31"/>
      <c r="F151" s="31"/>
      <c r="G151" s="18">
        <v>10.532999999999999</v>
      </c>
      <c r="H151" s="19">
        <f>H153+H155</f>
        <v>10.872</v>
      </c>
      <c r="I151" s="19">
        <v>14.65</v>
      </c>
      <c r="J151" s="19">
        <v>41.39</v>
      </c>
      <c r="K151" s="19">
        <v>16.489999999999998</v>
      </c>
      <c r="L151" s="19">
        <v>16.489999999999998</v>
      </c>
      <c r="M151" s="66">
        <f>27.799+M155</f>
        <v>33.04</v>
      </c>
      <c r="N151" s="66">
        <f>27.799+N155</f>
        <v>33.04</v>
      </c>
    </row>
    <row r="152" spans="1:17" ht="12.75">
      <c r="A152" s="14" t="s">
        <v>133</v>
      </c>
      <c r="B152" s="15" t="s">
        <v>94</v>
      </c>
      <c r="C152" s="16">
        <v>1</v>
      </c>
      <c r="D152" s="31"/>
      <c r="E152" s="31"/>
      <c r="F152" s="31"/>
      <c r="G152" s="18"/>
      <c r="H152" s="19"/>
      <c r="I152" s="19"/>
      <c r="J152" s="19"/>
      <c r="K152" s="19"/>
      <c r="L152" s="19"/>
      <c r="M152" s="66"/>
      <c r="N152" s="66"/>
    </row>
    <row r="153" spans="1:17" ht="12.75">
      <c r="A153" s="14" t="s">
        <v>134</v>
      </c>
      <c r="B153" s="15" t="s">
        <v>94</v>
      </c>
      <c r="C153" s="16">
        <v>1</v>
      </c>
      <c r="D153" s="31"/>
      <c r="E153" s="31"/>
      <c r="F153" s="31"/>
      <c r="G153" s="18">
        <v>10.532999999999999</v>
      </c>
      <c r="H153" s="19">
        <v>3.8370000000000002</v>
      </c>
      <c r="I153" s="19">
        <v>2.6739999999999999</v>
      </c>
      <c r="J153" s="19">
        <v>2.4500000000000002</v>
      </c>
      <c r="K153" s="19">
        <v>2.4700000000000002</v>
      </c>
      <c r="L153" s="19">
        <v>2.4700000000000002</v>
      </c>
      <c r="M153" s="66">
        <v>2.4790000000000001</v>
      </c>
      <c r="N153" s="66">
        <v>2.4790000000000001</v>
      </c>
    </row>
    <row r="154" spans="1:17" ht="12.75">
      <c r="A154" s="14" t="s">
        <v>135</v>
      </c>
      <c r="B154" s="15" t="s">
        <v>94</v>
      </c>
      <c r="C154" s="16">
        <v>1</v>
      </c>
      <c r="D154" s="31"/>
      <c r="E154" s="31"/>
      <c r="F154" s="31"/>
      <c r="G154" s="18"/>
      <c r="H154" s="19"/>
      <c r="I154" s="19"/>
      <c r="J154" s="19"/>
      <c r="K154" s="19"/>
      <c r="L154" s="19"/>
      <c r="M154" s="66">
        <v>25.32</v>
      </c>
      <c r="N154" s="66">
        <v>25.32</v>
      </c>
    </row>
    <row r="155" spans="1:17" ht="12.75">
      <c r="A155" s="14" t="s">
        <v>136</v>
      </c>
      <c r="B155" s="15" t="s">
        <v>94</v>
      </c>
      <c r="C155" s="16">
        <v>1</v>
      </c>
      <c r="D155" s="31"/>
      <c r="E155" s="31"/>
      <c r="F155" s="31"/>
      <c r="G155" s="18"/>
      <c r="H155" s="19">
        <v>7.0350000000000001</v>
      </c>
      <c r="I155" s="19">
        <v>11.975</v>
      </c>
      <c r="J155" s="19">
        <v>38.94</v>
      </c>
      <c r="K155" s="19">
        <v>15.06</v>
      </c>
      <c r="L155" s="19">
        <v>15.06</v>
      </c>
      <c r="M155" s="66">
        <f>1.56+3.681</f>
        <v>5.2409999999999997</v>
      </c>
      <c r="N155" s="66">
        <f>1.56+3.681</f>
        <v>5.2409999999999997</v>
      </c>
    </row>
    <row r="156" spans="1:17" ht="12.75">
      <c r="A156" s="14" t="s">
        <v>137</v>
      </c>
      <c r="B156" s="15" t="s">
        <v>94</v>
      </c>
      <c r="C156" s="16">
        <v>1</v>
      </c>
      <c r="D156" s="31"/>
      <c r="E156" s="31"/>
      <c r="F156" s="31"/>
      <c r="G156" s="18">
        <v>18.646999999999998</v>
      </c>
      <c r="H156" s="19">
        <v>32.148000000000003</v>
      </c>
      <c r="I156" s="19">
        <v>26.481000000000002</v>
      </c>
      <c r="J156" s="19">
        <v>16.829999999999998</v>
      </c>
      <c r="K156" s="19">
        <v>7.48</v>
      </c>
      <c r="L156" s="19">
        <v>7.48</v>
      </c>
      <c r="M156" s="66">
        <v>5.17</v>
      </c>
      <c r="N156" s="66">
        <v>5.17</v>
      </c>
      <c r="O156" s="60"/>
    </row>
    <row r="157" spans="1:17" ht="12.75">
      <c r="A157" s="14" t="s">
        <v>138</v>
      </c>
      <c r="B157" s="15" t="s">
        <v>94</v>
      </c>
      <c r="C157" s="16">
        <v>1</v>
      </c>
      <c r="D157" s="31"/>
      <c r="E157" s="31"/>
      <c r="F157" s="31"/>
      <c r="G157" s="18"/>
      <c r="H157" s="19"/>
      <c r="I157" s="19"/>
      <c r="J157" s="19"/>
      <c r="K157" s="19"/>
      <c r="L157" s="19"/>
      <c r="M157" s="66"/>
      <c r="N157" s="66"/>
    </row>
    <row r="158" spans="1:17" ht="12.75">
      <c r="A158" s="14" t="s">
        <v>139</v>
      </c>
      <c r="B158" s="15" t="s">
        <v>94</v>
      </c>
      <c r="C158" s="16">
        <v>1</v>
      </c>
      <c r="D158" s="31"/>
      <c r="E158" s="31"/>
      <c r="F158" s="31"/>
      <c r="G158" s="18">
        <v>368.57799999999997</v>
      </c>
      <c r="H158" s="19">
        <v>519.75699999999995</v>
      </c>
      <c r="I158" s="19">
        <v>631.20000000000005</v>
      </c>
      <c r="J158" s="19">
        <v>520.28</v>
      </c>
      <c r="K158" s="19">
        <v>519.97</v>
      </c>
      <c r="L158" s="19">
        <v>519.97</v>
      </c>
      <c r="M158" s="66">
        <v>547.63</v>
      </c>
      <c r="N158" s="66">
        <v>547.63</v>
      </c>
      <c r="O158" s="60"/>
    </row>
    <row r="159" spans="1:17" ht="21">
      <c r="A159" s="14" t="s">
        <v>140</v>
      </c>
      <c r="B159" s="15" t="s">
        <v>94</v>
      </c>
      <c r="C159" s="16">
        <v>1</v>
      </c>
      <c r="D159" s="31"/>
      <c r="E159" s="31"/>
      <c r="F159" s="31"/>
      <c r="G159" s="18">
        <v>8.9909999999999997</v>
      </c>
      <c r="H159" s="19">
        <v>12.006</v>
      </c>
      <c r="I159" s="19">
        <v>14.66</v>
      </c>
      <c r="J159" s="19">
        <v>18.68</v>
      </c>
      <c r="K159" s="19">
        <v>18.09</v>
      </c>
      <c r="L159" s="19">
        <v>18.09</v>
      </c>
      <c r="M159" s="66">
        <v>14.35</v>
      </c>
      <c r="N159" s="66">
        <v>14.35</v>
      </c>
    </row>
    <row r="160" spans="1:17" ht="12.75">
      <c r="A160" s="14" t="s">
        <v>141</v>
      </c>
      <c r="B160" s="15" t="s">
        <v>94</v>
      </c>
      <c r="C160" s="16">
        <v>1</v>
      </c>
      <c r="D160" s="31"/>
      <c r="E160" s="31"/>
      <c r="F160" s="31"/>
      <c r="G160" s="18">
        <v>61.433999999999997</v>
      </c>
      <c r="H160" s="19">
        <v>7.7329999999999997</v>
      </c>
      <c r="I160" s="19">
        <v>35.624000000000002</v>
      </c>
      <c r="J160" s="19">
        <v>36.6</v>
      </c>
      <c r="K160" s="19">
        <v>10.72</v>
      </c>
      <c r="L160" s="19">
        <v>10.72</v>
      </c>
      <c r="M160" s="66">
        <v>2.2200000000000002</v>
      </c>
      <c r="N160" s="66">
        <v>2.2200000000000002</v>
      </c>
    </row>
    <row r="161" spans="1:15" ht="12.75">
      <c r="A161" s="14" t="s">
        <v>142</v>
      </c>
      <c r="B161" s="15" t="s">
        <v>94</v>
      </c>
      <c r="C161" s="16">
        <v>1</v>
      </c>
      <c r="D161" s="31"/>
      <c r="E161" s="31"/>
      <c r="F161" s="31"/>
      <c r="G161" s="18">
        <v>40.642000000000003</v>
      </c>
      <c r="H161" s="19">
        <v>49.768000000000001</v>
      </c>
      <c r="I161" s="19">
        <v>55.872999999999998</v>
      </c>
      <c r="J161" s="19">
        <v>27.98</v>
      </c>
      <c r="K161" s="19">
        <v>19.5</v>
      </c>
      <c r="L161" s="19">
        <v>19.5</v>
      </c>
      <c r="M161" s="66">
        <v>23.963000000000001</v>
      </c>
      <c r="N161" s="66">
        <v>23.963000000000001</v>
      </c>
      <c r="O161" s="60"/>
    </row>
    <row r="162" spans="1:15" ht="12.75">
      <c r="A162" s="14" t="s">
        <v>143</v>
      </c>
      <c r="B162" s="15" t="s">
        <v>94</v>
      </c>
      <c r="C162" s="16"/>
      <c r="D162" s="31"/>
      <c r="E162" s="31"/>
      <c r="F162" s="31"/>
      <c r="G162" s="18"/>
      <c r="H162" s="19"/>
      <c r="I162" s="19">
        <v>0.21</v>
      </c>
      <c r="J162" s="19">
        <v>0.21</v>
      </c>
      <c r="K162" s="19">
        <v>0.25</v>
      </c>
      <c r="L162" s="19">
        <v>0.25</v>
      </c>
      <c r="M162" s="66"/>
      <c r="N162" s="66"/>
    </row>
    <row r="163" spans="1:15" ht="12.75">
      <c r="A163" s="14" t="s">
        <v>144</v>
      </c>
      <c r="B163" s="15" t="s">
        <v>94</v>
      </c>
      <c r="C163" s="16">
        <v>1</v>
      </c>
      <c r="D163" s="31"/>
      <c r="E163" s="31"/>
      <c r="F163" s="31"/>
      <c r="G163" s="18">
        <v>30.803000000000001</v>
      </c>
      <c r="H163" s="19"/>
      <c r="I163" s="19">
        <v>43.53</v>
      </c>
      <c r="J163" s="19">
        <v>14.34</v>
      </c>
      <c r="K163" s="19">
        <v>17.25</v>
      </c>
      <c r="L163" s="19">
        <v>17.25</v>
      </c>
      <c r="M163" s="66">
        <v>45.45</v>
      </c>
      <c r="N163" s="66">
        <v>45.45</v>
      </c>
    </row>
    <row r="164" spans="1:15" ht="12.75">
      <c r="A164" s="14" t="s">
        <v>145</v>
      </c>
      <c r="B164" s="15" t="s">
        <v>94</v>
      </c>
      <c r="C164" s="16">
        <v>1</v>
      </c>
      <c r="D164" s="31"/>
      <c r="E164" s="31"/>
      <c r="F164" s="31"/>
      <c r="G164" s="18">
        <v>9.8390000000000004</v>
      </c>
      <c r="H164" s="19">
        <v>7.1890000000000001</v>
      </c>
      <c r="I164" s="19">
        <v>6.56</v>
      </c>
      <c r="J164" s="19">
        <v>8.7200000000000006</v>
      </c>
      <c r="K164" s="19"/>
      <c r="L164" s="19"/>
      <c r="M164" s="66">
        <v>7.7222</v>
      </c>
      <c r="N164" s="66">
        <v>7.7222</v>
      </c>
    </row>
    <row r="165" spans="1:15" ht="12.75">
      <c r="A165" s="14" t="s">
        <v>146</v>
      </c>
      <c r="B165" s="15" t="s">
        <v>94</v>
      </c>
      <c r="C165" s="16">
        <v>1</v>
      </c>
      <c r="D165" s="31"/>
      <c r="E165" s="31"/>
      <c r="F165" s="31"/>
      <c r="G165" s="18">
        <v>0</v>
      </c>
      <c r="H165" s="19"/>
      <c r="I165" s="19">
        <v>5.57</v>
      </c>
      <c r="J165" s="19">
        <v>4.71</v>
      </c>
      <c r="K165" s="19"/>
      <c r="L165" s="19"/>
      <c r="M165" s="66"/>
      <c r="N165" s="66"/>
    </row>
    <row r="166" spans="1:15" ht="31.5">
      <c r="A166" s="14" t="s">
        <v>147</v>
      </c>
      <c r="B166" s="15" t="s">
        <v>94</v>
      </c>
      <c r="C166" s="16"/>
      <c r="D166" s="31"/>
      <c r="E166" s="31"/>
      <c r="F166" s="31"/>
      <c r="G166" s="18"/>
      <c r="H166" s="19"/>
      <c r="I166" s="19"/>
      <c r="J166" s="19">
        <v>36.874000000000002</v>
      </c>
      <c r="K166" s="19">
        <v>21.22</v>
      </c>
      <c r="L166" s="19">
        <v>21.22</v>
      </c>
      <c r="M166" s="66">
        <v>29.96</v>
      </c>
      <c r="N166" s="66">
        <v>29.96</v>
      </c>
    </row>
    <row r="167" spans="1:15" ht="12.75">
      <c r="A167" s="14" t="s">
        <v>148</v>
      </c>
      <c r="B167" s="15" t="s">
        <v>94</v>
      </c>
      <c r="C167" s="16"/>
      <c r="D167" s="31"/>
      <c r="E167" s="31"/>
      <c r="F167" s="31"/>
      <c r="G167" s="18">
        <v>20.631</v>
      </c>
      <c r="H167" s="19">
        <v>3.5760000000000001</v>
      </c>
      <c r="I167" s="19">
        <v>7.5490000000000004</v>
      </c>
      <c r="J167" s="19">
        <v>4.03</v>
      </c>
      <c r="K167" s="19"/>
      <c r="L167" s="19"/>
      <c r="M167" s="66">
        <v>1.7</v>
      </c>
      <c r="N167" s="66">
        <v>1.7</v>
      </c>
    </row>
    <row r="168" spans="1:15" ht="12.75">
      <c r="A168" s="14" t="s">
        <v>149</v>
      </c>
      <c r="B168" s="15" t="s">
        <v>94</v>
      </c>
      <c r="C168" s="16"/>
      <c r="D168" s="31"/>
      <c r="E168" s="31"/>
      <c r="F168" s="31"/>
      <c r="G168" s="18">
        <v>13.289</v>
      </c>
      <c r="H168" s="19">
        <f>H118-H146</f>
        <v>56.117400000000089</v>
      </c>
      <c r="I168" s="19">
        <v>57.2</v>
      </c>
      <c r="J168" s="19">
        <f>J118-J146</f>
        <v>-48.843499999999949</v>
      </c>
      <c r="K168" s="19">
        <v>-6</v>
      </c>
      <c r="L168" s="19">
        <v>-6</v>
      </c>
      <c r="M168" s="66">
        <f>M118-M146</f>
        <v>-3.0000000001564331E-3</v>
      </c>
      <c r="N168" s="66">
        <f>N118-N146</f>
        <v>-3.0000000001564331E-3</v>
      </c>
    </row>
    <row r="169" spans="1:15" ht="12.75">
      <c r="A169" s="14" t="s">
        <v>150</v>
      </c>
      <c r="B169" s="15" t="s">
        <v>94</v>
      </c>
      <c r="C169" s="16"/>
      <c r="D169" s="31"/>
      <c r="E169" s="31"/>
      <c r="F169" s="31"/>
      <c r="G169" s="18">
        <v>0</v>
      </c>
      <c r="H169" s="19">
        <f>142/1000</f>
        <v>0.14199999999999999</v>
      </c>
      <c r="I169" s="19">
        <f>142/1000</f>
        <v>0.14199999999999999</v>
      </c>
      <c r="J169" s="19">
        <v>0</v>
      </c>
      <c r="K169" s="19">
        <v>0</v>
      </c>
      <c r="L169" s="19">
        <v>0</v>
      </c>
      <c r="M169" s="66">
        <v>0</v>
      </c>
      <c r="N169" s="66">
        <v>0</v>
      </c>
    </row>
    <row r="170" spans="1:15" ht="28.5">
      <c r="A170" s="64" t="s">
        <v>151</v>
      </c>
      <c r="B170" s="34"/>
      <c r="C170" s="16"/>
      <c r="D170" s="31"/>
      <c r="E170" s="31"/>
      <c r="F170" s="31"/>
      <c r="G170" s="67"/>
      <c r="H170" s="19"/>
      <c r="I170" s="19"/>
      <c r="J170" s="19"/>
      <c r="K170" s="19"/>
      <c r="L170" s="19"/>
      <c r="M170" s="19"/>
      <c r="N170" s="19"/>
    </row>
    <row r="171" spans="1:15" ht="12.75">
      <c r="A171" s="45" t="s">
        <v>152</v>
      </c>
      <c r="B171" s="15" t="s">
        <v>94</v>
      </c>
      <c r="C171" s="16">
        <v>1</v>
      </c>
      <c r="D171" s="31"/>
      <c r="E171" s="31"/>
      <c r="F171" s="31"/>
      <c r="G171" s="18">
        <f t="shared" ref="G171:I171" si="19">G173+G174+G175+G179+G180</f>
        <v>7231.19</v>
      </c>
      <c r="H171" s="19">
        <f t="shared" si="19"/>
        <v>6584.8380000000006</v>
      </c>
      <c r="I171" s="19">
        <f t="shared" si="19"/>
        <v>7687.9</v>
      </c>
      <c r="J171" s="19">
        <f>J173+J174+J175+J179+J180</f>
        <v>8113.5250000000005</v>
      </c>
      <c r="K171" s="19">
        <f>K173+K174+K175+K179+K180</f>
        <v>8385.5712500000009</v>
      </c>
      <c r="L171" s="19">
        <f>L173+L174+L175+L179+L180</f>
        <v>8804.8498125000006</v>
      </c>
      <c r="M171" s="19">
        <f>M173+M174+M175+M179+M180</f>
        <v>9245.0923031250022</v>
      </c>
      <c r="N171" s="41"/>
    </row>
    <row r="172" spans="1:15" ht="12.75">
      <c r="A172" s="14" t="s">
        <v>31</v>
      </c>
      <c r="B172" s="15"/>
      <c r="C172" s="16"/>
      <c r="D172" s="31"/>
      <c r="E172" s="31"/>
      <c r="F172" s="31"/>
      <c r="G172" s="18"/>
      <c r="H172" s="19"/>
      <c r="I172" s="19"/>
      <c r="J172" s="19"/>
      <c r="K172" s="19"/>
      <c r="L172" s="19"/>
      <c r="M172" s="19"/>
      <c r="N172" s="41"/>
    </row>
    <row r="173" spans="1:15" ht="12.75">
      <c r="A173" s="36" t="s">
        <v>153</v>
      </c>
      <c r="B173" s="15" t="s">
        <v>94</v>
      </c>
      <c r="C173" s="16">
        <v>1</v>
      </c>
      <c r="D173" s="31"/>
      <c r="E173" s="31"/>
      <c r="F173" s="31"/>
      <c r="G173" s="18">
        <v>5007.3</v>
      </c>
      <c r="H173" s="19">
        <v>3724.3</v>
      </c>
      <c r="I173" s="19">
        <v>4274.8999999999996</v>
      </c>
      <c r="J173" s="19">
        <v>5040.8450000000003</v>
      </c>
      <c r="K173" s="19">
        <f>J173*1.05</f>
        <v>5292.8872500000007</v>
      </c>
      <c r="L173" s="19">
        <f>K173*1.05</f>
        <v>5557.5316125000008</v>
      </c>
      <c r="M173" s="19">
        <f>L173*1.05</f>
        <v>5835.4081931250012</v>
      </c>
      <c r="N173" s="19">
        <f>M173*1.05</f>
        <v>6127.1786027812514</v>
      </c>
    </row>
    <row r="174" spans="1:15" ht="12.75">
      <c r="A174" s="36" t="s">
        <v>154</v>
      </c>
      <c r="B174" s="15" t="s">
        <v>94</v>
      </c>
      <c r="C174" s="16">
        <v>1</v>
      </c>
      <c r="D174" s="31"/>
      <c r="E174" s="31"/>
      <c r="F174" s="31"/>
      <c r="G174" s="18">
        <v>422.3</v>
      </c>
      <c r="H174" s="19">
        <v>516.1</v>
      </c>
      <c r="I174" s="19">
        <v>885</v>
      </c>
      <c r="J174" s="19">
        <v>660.6</v>
      </c>
      <c r="K174" s="19">
        <v>560</v>
      </c>
      <c r="L174" s="19">
        <f t="shared" ref="L174:N181" si="20">K174*1.05</f>
        <v>588</v>
      </c>
      <c r="M174" s="19">
        <f t="shared" si="20"/>
        <v>617.4</v>
      </c>
      <c r="N174" s="19">
        <f t="shared" si="20"/>
        <v>648.27</v>
      </c>
    </row>
    <row r="175" spans="1:15" ht="12.75">
      <c r="A175" s="36" t="s">
        <v>155</v>
      </c>
      <c r="B175" s="15" t="s">
        <v>94</v>
      </c>
      <c r="C175" s="16">
        <v>1</v>
      </c>
      <c r="D175" s="31"/>
      <c r="E175" s="31"/>
      <c r="F175" s="31"/>
      <c r="G175" s="18">
        <v>1529.4</v>
      </c>
      <c r="H175" s="19">
        <f>H176+H177</f>
        <v>2062.4300000000003</v>
      </c>
      <c r="I175" s="19">
        <v>2178.1999999999998</v>
      </c>
      <c r="J175" s="19">
        <v>2302.08</v>
      </c>
      <c r="K175" s="19">
        <f t="shared" ref="K175:K180" si="21">J175*1.05</f>
        <v>2417.1840000000002</v>
      </c>
      <c r="L175" s="19">
        <f t="shared" si="20"/>
        <v>2538.0432000000005</v>
      </c>
      <c r="M175" s="19">
        <f>L175*1.05</f>
        <v>2664.9453600000006</v>
      </c>
      <c r="N175" s="19">
        <f t="shared" si="20"/>
        <v>2798.1926280000007</v>
      </c>
    </row>
    <row r="176" spans="1:15" ht="12.75">
      <c r="A176" s="59" t="s">
        <v>156</v>
      </c>
      <c r="B176" s="15" t="s">
        <v>94</v>
      </c>
      <c r="C176" s="16">
        <v>1</v>
      </c>
      <c r="D176" s="31"/>
      <c r="E176" s="31"/>
      <c r="F176" s="31"/>
      <c r="G176" s="18">
        <v>1241.5</v>
      </c>
      <c r="H176" s="19">
        <v>1566.93</v>
      </c>
      <c r="I176" s="19">
        <v>1673.8</v>
      </c>
      <c r="J176" s="19">
        <v>1953.22</v>
      </c>
      <c r="K176" s="219">
        <f>J176+280</f>
        <v>2233.2200000000003</v>
      </c>
      <c r="L176" s="19">
        <f t="shared" si="20"/>
        <v>2344.8810000000003</v>
      </c>
      <c r="M176" s="19">
        <f t="shared" si="20"/>
        <v>2462.1250500000006</v>
      </c>
      <c r="N176" s="19">
        <f t="shared" si="20"/>
        <v>2585.2313025000008</v>
      </c>
    </row>
    <row r="177" spans="1:16" ht="12.75">
      <c r="A177" s="59" t="s">
        <v>157</v>
      </c>
      <c r="B177" s="15" t="s">
        <v>94</v>
      </c>
      <c r="C177" s="16">
        <v>1</v>
      </c>
      <c r="D177" s="31"/>
      <c r="E177" s="31"/>
      <c r="F177" s="31"/>
      <c r="G177" s="18">
        <v>287.89999999999998</v>
      </c>
      <c r="H177" s="19">
        <v>495.5</v>
      </c>
      <c r="I177" s="19">
        <v>504.3</v>
      </c>
      <c r="J177" s="19">
        <v>348.86</v>
      </c>
      <c r="K177" s="19">
        <f t="shared" si="21"/>
        <v>366.30300000000005</v>
      </c>
      <c r="L177" s="19">
        <f t="shared" si="20"/>
        <v>384.61815000000007</v>
      </c>
      <c r="M177" s="19">
        <f t="shared" si="20"/>
        <v>403.84905750000007</v>
      </c>
      <c r="N177" s="19">
        <f t="shared" si="20"/>
        <v>424.04151037500009</v>
      </c>
    </row>
    <row r="178" spans="1:16" ht="12.75">
      <c r="A178" s="59" t="s">
        <v>158</v>
      </c>
      <c r="B178" s="15" t="s">
        <v>94</v>
      </c>
      <c r="C178" s="16">
        <v>1</v>
      </c>
      <c r="D178" s="31"/>
      <c r="E178" s="31"/>
      <c r="F178" s="31"/>
      <c r="G178" s="18"/>
      <c r="H178" s="19"/>
      <c r="I178" s="19">
        <v>0</v>
      </c>
      <c r="J178" s="19">
        <v>0</v>
      </c>
      <c r="K178" s="19">
        <f t="shared" si="21"/>
        <v>0</v>
      </c>
      <c r="L178" s="19">
        <f t="shared" si="20"/>
        <v>0</v>
      </c>
      <c r="M178" s="19">
        <f t="shared" si="20"/>
        <v>0</v>
      </c>
      <c r="N178" s="19">
        <f t="shared" si="20"/>
        <v>0</v>
      </c>
    </row>
    <row r="179" spans="1:16" ht="12.75">
      <c r="A179" s="36" t="s">
        <v>159</v>
      </c>
      <c r="B179" s="15" t="s">
        <v>94</v>
      </c>
      <c r="C179" s="16">
        <v>1</v>
      </c>
      <c r="D179" s="31"/>
      <c r="E179" s="31"/>
      <c r="F179" s="31"/>
      <c r="G179" s="18">
        <v>25.08</v>
      </c>
      <c r="H179" s="19">
        <v>82</v>
      </c>
      <c r="I179" s="19">
        <v>82.6</v>
      </c>
      <c r="J179" s="19"/>
      <c r="K179" s="19">
        <f t="shared" si="21"/>
        <v>0</v>
      </c>
      <c r="L179" s="19">
        <f t="shared" si="20"/>
        <v>0</v>
      </c>
      <c r="M179" s="19">
        <f t="shared" si="20"/>
        <v>0</v>
      </c>
      <c r="N179" s="19">
        <f t="shared" si="20"/>
        <v>0</v>
      </c>
    </row>
    <row r="180" spans="1:16" ht="12.75">
      <c r="A180" s="36" t="s">
        <v>160</v>
      </c>
      <c r="B180" s="15" t="s">
        <v>94</v>
      </c>
      <c r="C180" s="16">
        <v>1</v>
      </c>
      <c r="D180" s="31"/>
      <c r="E180" s="31"/>
      <c r="F180" s="31"/>
      <c r="G180" s="18">
        <f>0.92+109.47+136.72</f>
        <v>247.11</v>
      </c>
      <c r="H180" s="19">
        <f>5.198+66.91+127.9</f>
        <v>200.00800000000001</v>
      </c>
      <c r="I180" s="19">
        <f>2.7+127+137.5</f>
        <v>267.2</v>
      </c>
      <c r="J180" s="19">
        <v>110</v>
      </c>
      <c r="K180" s="19">
        <f t="shared" si="21"/>
        <v>115.5</v>
      </c>
      <c r="L180" s="19">
        <f t="shared" si="20"/>
        <v>121.27500000000001</v>
      </c>
      <c r="M180" s="19">
        <f t="shared" si="20"/>
        <v>127.33875</v>
      </c>
      <c r="N180" s="19">
        <f t="shared" si="20"/>
        <v>133.70568750000001</v>
      </c>
    </row>
    <row r="181" spans="1:16" ht="12.75">
      <c r="A181" s="14" t="s">
        <v>161</v>
      </c>
      <c r="B181" s="15" t="s">
        <v>162</v>
      </c>
      <c r="C181" s="16">
        <v>1</v>
      </c>
      <c r="D181" s="31"/>
      <c r="E181" s="31"/>
      <c r="F181" s="31"/>
      <c r="G181" s="18">
        <f>G171/G6/12*1000</f>
        <v>9552.9354259141837</v>
      </c>
      <c r="H181" s="19">
        <v>8335.4</v>
      </c>
      <c r="I181" s="19">
        <v>8752.17</v>
      </c>
      <c r="J181" s="19">
        <v>9649.267425</v>
      </c>
      <c r="K181" s="19">
        <v>10132</v>
      </c>
      <c r="L181" s="19">
        <f t="shared" si="20"/>
        <v>10638.6</v>
      </c>
      <c r="M181" s="19">
        <f t="shared" si="20"/>
        <v>11170.53</v>
      </c>
      <c r="N181" s="19">
        <f t="shared" si="20"/>
        <v>11729.056500000001</v>
      </c>
    </row>
    <row r="182" spans="1:16" ht="12.75">
      <c r="A182" s="45" t="s">
        <v>163</v>
      </c>
      <c r="B182" s="15" t="s">
        <v>94</v>
      </c>
      <c r="C182" s="16">
        <v>1</v>
      </c>
      <c r="D182" s="31"/>
      <c r="E182" s="31"/>
      <c r="F182" s="31"/>
      <c r="G182" s="18">
        <f t="shared" ref="G182:I182" si="22">G184+G186+G187</f>
        <v>6914.0800000000008</v>
      </c>
      <c r="H182" s="19">
        <f t="shared" si="22"/>
        <v>6538.7</v>
      </c>
      <c r="I182" s="19">
        <f t="shared" si="22"/>
        <v>7745.119999999999</v>
      </c>
      <c r="J182" s="19">
        <f>J184+J186+J187</f>
        <v>8156.33</v>
      </c>
      <c r="K182" s="19">
        <f>K184+K186+K187</f>
        <v>8564.1465000000007</v>
      </c>
      <c r="L182" s="19">
        <f>L184+L186+L187</f>
        <v>8992.3538250000001</v>
      </c>
      <c r="M182" s="19">
        <f>M184+M186+M187</f>
        <v>9441.9715162500015</v>
      </c>
      <c r="N182" s="19">
        <f>N184+N186+N187</f>
        <v>9914.0700920625004</v>
      </c>
    </row>
    <row r="183" spans="1:16" ht="12.75">
      <c r="A183" s="14" t="s">
        <v>31</v>
      </c>
      <c r="B183" s="15" t="s">
        <v>164</v>
      </c>
      <c r="C183" s="16"/>
      <c r="D183" s="31"/>
      <c r="E183" s="31"/>
      <c r="F183" s="31"/>
      <c r="G183" s="18"/>
      <c r="H183" s="19"/>
      <c r="I183" s="19">
        <v>0</v>
      </c>
      <c r="J183" s="19">
        <v>0</v>
      </c>
      <c r="K183" s="19">
        <f>J183*1.05</f>
        <v>0</v>
      </c>
      <c r="L183" s="19">
        <f t="shared" ref="L183:N186" si="23">K183*1.05</f>
        <v>0</v>
      </c>
      <c r="M183" s="19">
        <f t="shared" si="23"/>
        <v>0</v>
      </c>
      <c r="N183" s="19">
        <f t="shared" si="23"/>
        <v>0</v>
      </c>
      <c r="P183" s="60"/>
    </row>
    <row r="184" spans="1:16" ht="12.75">
      <c r="A184" s="36" t="s">
        <v>165</v>
      </c>
      <c r="B184" s="15" t="s">
        <v>94</v>
      </c>
      <c r="C184" s="16">
        <v>1</v>
      </c>
      <c r="D184" s="31"/>
      <c r="E184" s="31"/>
      <c r="F184" s="31"/>
      <c r="G184" s="18">
        <f>6143.1+521.18</f>
        <v>6664.2800000000007</v>
      </c>
      <c r="H184" s="19">
        <v>4364.96</v>
      </c>
      <c r="I184" s="19">
        <v>4841.74</v>
      </c>
      <c r="J184" s="19">
        <v>5785.65</v>
      </c>
      <c r="K184" s="19">
        <f>J184*1.05</f>
        <v>6074.9324999999999</v>
      </c>
      <c r="L184" s="19">
        <f t="shared" si="23"/>
        <v>6378.6791250000006</v>
      </c>
      <c r="M184" s="19">
        <f t="shared" si="23"/>
        <v>6697.6130812500005</v>
      </c>
      <c r="N184" s="19">
        <f t="shared" si="23"/>
        <v>7032.4937353125006</v>
      </c>
    </row>
    <row r="185" spans="1:16" ht="12.75">
      <c r="A185" s="59" t="s">
        <v>166</v>
      </c>
      <c r="B185" s="15" t="s">
        <v>94</v>
      </c>
      <c r="C185" s="16">
        <v>1</v>
      </c>
      <c r="D185" s="31"/>
      <c r="E185" s="31"/>
      <c r="F185" s="31"/>
      <c r="G185" s="18"/>
      <c r="H185" s="19">
        <v>3724.3</v>
      </c>
      <c r="I185" s="19">
        <v>4167.8</v>
      </c>
      <c r="J185" s="19">
        <v>5010.63</v>
      </c>
      <c r="K185" s="19">
        <f>J185*1.05</f>
        <v>5261.1615000000002</v>
      </c>
      <c r="L185" s="19">
        <f t="shared" si="23"/>
        <v>5524.2195750000001</v>
      </c>
      <c r="M185" s="19">
        <f t="shared" si="23"/>
        <v>5800.4305537500004</v>
      </c>
      <c r="N185" s="19">
        <f t="shared" si="23"/>
        <v>6090.452081437501</v>
      </c>
    </row>
    <row r="186" spans="1:16" ht="12.75">
      <c r="A186" s="36" t="s">
        <v>167</v>
      </c>
      <c r="B186" s="15" t="s">
        <v>94</v>
      </c>
      <c r="C186" s="16">
        <v>1</v>
      </c>
      <c r="D186" s="31"/>
      <c r="E186" s="31"/>
      <c r="F186" s="31"/>
      <c r="G186" s="18">
        <v>64.17</v>
      </c>
      <c r="H186" s="19">
        <v>58.61</v>
      </c>
      <c r="I186" s="19">
        <v>92.98</v>
      </c>
      <c r="J186" s="19">
        <v>90.12</v>
      </c>
      <c r="K186" s="19">
        <f>J186*1.05</f>
        <v>94.626000000000005</v>
      </c>
      <c r="L186" s="19">
        <f t="shared" si="23"/>
        <v>99.357300000000009</v>
      </c>
      <c r="M186" s="19">
        <f t="shared" si="23"/>
        <v>104.32516500000001</v>
      </c>
      <c r="N186" s="19">
        <f t="shared" si="23"/>
        <v>109.54142325000002</v>
      </c>
    </row>
    <row r="187" spans="1:16" ht="12.75">
      <c r="A187" s="36" t="s">
        <v>168</v>
      </c>
      <c r="B187" s="15" t="s">
        <v>94</v>
      </c>
      <c r="C187" s="16">
        <v>1</v>
      </c>
      <c r="D187" s="31"/>
      <c r="E187" s="31"/>
      <c r="F187" s="31"/>
      <c r="G187" s="18">
        <f>65+1.2+117.93+1.5</f>
        <v>185.63</v>
      </c>
      <c r="H187" s="19">
        <f>452.5+1.8+300.74+1360.09</f>
        <v>2115.13</v>
      </c>
      <c r="I187" s="19">
        <v>2810.4</v>
      </c>
      <c r="J187" s="19">
        <f>1785+317.42+178.14</f>
        <v>2280.56</v>
      </c>
      <c r="K187" s="19">
        <f>J187*1.05</f>
        <v>2394.5880000000002</v>
      </c>
      <c r="L187" s="19">
        <f>K187*1.05</f>
        <v>2514.3174000000004</v>
      </c>
      <c r="M187" s="19">
        <f>L187*1.05</f>
        <v>2640.0332700000004</v>
      </c>
      <c r="N187" s="19">
        <f>M187*1.05</f>
        <v>2772.0349335000005</v>
      </c>
    </row>
    <row r="188" spans="1:16" ht="21">
      <c r="A188" s="36" t="s">
        <v>169</v>
      </c>
      <c r="B188" s="15" t="s">
        <v>94</v>
      </c>
      <c r="C188" s="16">
        <v>1</v>
      </c>
      <c r="D188" s="31"/>
      <c r="E188" s="31"/>
      <c r="F188" s="31"/>
      <c r="G188" s="18">
        <f>G171-G182</f>
        <v>317.10999999999876</v>
      </c>
      <c r="H188" s="19">
        <f>H171-H182</f>
        <v>46.138000000000829</v>
      </c>
      <c r="I188" s="19">
        <f t="shared" ref="I188:N188" si="24">I171-I182</f>
        <v>-57.219999999999345</v>
      </c>
      <c r="J188" s="19">
        <f t="shared" si="24"/>
        <v>-42.804999999999382</v>
      </c>
      <c r="K188" s="19">
        <f>K171-K182</f>
        <v>-178.57524999999987</v>
      </c>
      <c r="L188" s="19">
        <f t="shared" si="24"/>
        <v>-187.50401249999959</v>
      </c>
      <c r="M188" s="19">
        <f t="shared" si="24"/>
        <v>-196.8792131249993</v>
      </c>
      <c r="N188" s="19">
        <f t="shared" si="24"/>
        <v>-9914.0700920625004</v>
      </c>
    </row>
    <row r="189" spans="1:16" ht="31.5">
      <c r="A189" s="14" t="s">
        <v>170</v>
      </c>
      <c r="B189" s="15" t="s">
        <v>171</v>
      </c>
      <c r="C189" s="16">
        <v>1</v>
      </c>
      <c r="D189" s="68"/>
      <c r="E189" s="31"/>
      <c r="F189" s="31"/>
      <c r="G189" s="18">
        <v>6374.6</v>
      </c>
      <c r="H189" s="19">
        <v>7923</v>
      </c>
      <c r="I189" s="19">
        <v>8319.15</v>
      </c>
      <c r="J189" s="19">
        <v>9510</v>
      </c>
      <c r="K189" s="219">
        <f>J189+350</f>
        <v>9860</v>
      </c>
      <c r="L189" s="19">
        <f>K189+360</f>
        <v>10220</v>
      </c>
      <c r="M189" s="19">
        <f>L189+360</f>
        <v>10580</v>
      </c>
      <c r="N189" s="19">
        <f>M189+360</f>
        <v>10940</v>
      </c>
      <c r="O189" s="60"/>
    </row>
    <row r="190" spans="1:16" ht="14.25">
      <c r="A190" s="24" t="s">
        <v>172</v>
      </c>
      <c r="B190" s="34"/>
      <c r="C190" s="16"/>
      <c r="D190" s="31"/>
      <c r="E190" s="31"/>
      <c r="F190" s="31"/>
      <c r="G190" s="18"/>
      <c r="H190" s="19"/>
      <c r="I190" s="19"/>
      <c r="J190" s="19"/>
      <c r="K190" s="19"/>
      <c r="L190" s="19"/>
      <c r="M190" s="19"/>
      <c r="N190" s="19"/>
      <c r="O190" s="60"/>
    </row>
    <row r="191" spans="1:16" ht="12.75">
      <c r="A191" s="14" t="s">
        <v>173</v>
      </c>
      <c r="B191" s="15" t="s">
        <v>13</v>
      </c>
      <c r="C191" s="16">
        <v>1</v>
      </c>
      <c r="D191" s="31"/>
      <c r="E191" s="31"/>
      <c r="F191" s="31"/>
      <c r="G191" s="18">
        <v>37.08</v>
      </c>
      <c r="H191" s="19">
        <v>34.46</v>
      </c>
      <c r="I191" s="19">
        <v>34.130000000000003</v>
      </c>
      <c r="J191" s="19">
        <v>34.33</v>
      </c>
      <c r="K191" s="19">
        <v>34.33</v>
      </c>
      <c r="L191" s="19">
        <v>34.33</v>
      </c>
      <c r="M191" s="19">
        <v>34.33</v>
      </c>
      <c r="N191" s="19">
        <v>34.33</v>
      </c>
    </row>
    <row r="192" spans="1:16" ht="21">
      <c r="A192" s="45" t="s">
        <v>174</v>
      </c>
      <c r="B192" s="15" t="s">
        <v>13</v>
      </c>
      <c r="C192" s="16">
        <v>1</v>
      </c>
      <c r="D192" s="31"/>
      <c r="E192" s="31"/>
      <c r="F192" s="31"/>
      <c r="G192" s="18">
        <v>32.790999999999997</v>
      </c>
      <c r="H192" s="19">
        <v>29.9</v>
      </c>
      <c r="I192" s="19">
        <v>29.12</v>
      </c>
      <c r="J192" s="19">
        <v>31.027999999999999</v>
      </c>
      <c r="K192" s="19">
        <v>31.027999999999999</v>
      </c>
      <c r="L192" s="19">
        <v>31.027999999999999</v>
      </c>
      <c r="M192" s="19">
        <v>31.027999999999999</v>
      </c>
      <c r="N192" s="19">
        <v>31.027999999999999</v>
      </c>
    </row>
    <row r="193" spans="1:16" ht="21">
      <c r="A193" s="14" t="s">
        <v>175</v>
      </c>
      <c r="B193" s="15" t="s">
        <v>164</v>
      </c>
      <c r="C193" s="16"/>
      <c r="D193" s="31"/>
      <c r="E193" s="31"/>
      <c r="F193" s="31"/>
      <c r="G193" s="18"/>
      <c r="H193" s="19"/>
      <c r="I193" s="19"/>
      <c r="J193" s="19"/>
      <c r="K193" s="19"/>
      <c r="L193" s="19"/>
      <c r="M193" s="19"/>
      <c r="N193" s="19"/>
    </row>
    <row r="194" spans="1:16" ht="21">
      <c r="A194" s="36" t="s">
        <v>176</v>
      </c>
      <c r="B194" s="15" t="s">
        <v>13</v>
      </c>
      <c r="C194" s="16">
        <v>1</v>
      </c>
      <c r="D194" s="31"/>
      <c r="E194" s="31"/>
      <c r="F194" s="31"/>
      <c r="G194" s="18">
        <v>3.21</v>
      </c>
      <c r="H194" s="19">
        <f>(230+2223+582)/1000</f>
        <v>3.0350000000000001</v>
      </c>
      <c r="I194" s="19">
        <v>2.73</v>
      </c>
      <c r="J194" s="19">
        <f>(230+2223+582)/1000</f>
        <v>3.0350000000000001</v>
      </c>
      <c r="K194" s="19">
        <f t="shared" ref="K194:N194" si="25">(230+2223+582)/1000</f>
        <v>3.0350000000000001</v>
      </c>
      <c r="L194" s="19">
        <f t="shared" si="25"/>
        <v>3.0350000000000001</v>
      </c>
      <c r="M194" s="19">
        <f t="shared" si="25"/>
        <v>3.0350000000000001</v>
      </c>
      <c r="N194" s="19">
        <f t="shared" si="25"/>
        <v>3.0350000000000001</v>
      </c>
    </row>
    <row r="195" spans="1:16" ht="12.75">
      <c r="A195" s="36" t="s">
        <v>177</v>
      </c>
      <c r="B195" s="15" t="s">
        <v>13</v>
      </c>
      <c r="C195" s="16">
        <v>1</v>
      </c>
      <c r="D195" s="31"/>
      <c r="E195" s="31"/>
      <c r="F195" s="31"/>
      <c r="G195" s="18"/>
      <c r="H195" s="19"/>
      <c r="I195" s="19"/>
      <c r="J195" s="19"/>
      <c r="K195" s="19"/>
      <c r="L195" s="19"/>
      <c r="M195" s="19"/>
      <c r="N195" s="19"/>
    </row>
    <row r="196" spans="1:16" ht="21">
      <c r="A196" s="36" t="s">
        <v>178</v>
      </c>
      <c r="B196" s="15" t="s">
        <v>13</v>
      </c>
      <c r="C196" s="16">
        <v>1</v>
      </c>
      <c r="D196" s="31"/>
      <c r="E196" s="31"/>
      <c r="F196" s="31"/>
      <c r="G196" s="18">
        <f>4029/1000</f>
        <v>4.0289999999999999</v>
      </c>
      <c r="H196" s="19">
        <f t="shared" ref="H196:N196" si="26">(560+672)/1000</f>
        <v>1.232</v>
      </c>
      <c r="I196" s="19">
        <f t="shared" si="26"/>
        <v>1.232</v>
      </c>
      <c r="J196" s="19">
        <f t="shared" si="26"/>
        <v>1.232</v>
      </c>
      <c r="K196" s="19">
        <f t="shared" si="26"/>
        <v>1.232</v>
      </c>
      <c r="L196" s="19">
        <f t="shared" si="26"/>
        <v>1.232</v>
      </c>
      <c r="M196" s="19">
        <f t="shared" si="26"/>
        <v>1.232</v>
      </c>
      <c r="N196" s="19">
        <f t="shared" si="26"/>
        <v>1.232</v>
      </c>
    </row>
    <row r="197" spans="1:16" ht="12.75">
      <c r="A197" s="36" t="s">
        <v>179</v>
      </c>
      <c r="B197" s="15" t="s">
        <v>13</v>
      </c>
      <c r="C197" s="16">
        <v>1</v>
      </c>
      <c r="D197" s="31"/>
      <c r="E197" s="31"/>
      <c r="F197" s="31"/>
      <c r="G197" s="18"/>
      <c r="H197" s="19"/>
      <c r="I197" s="19"/>
      <c r="J197" s="19"/>
      <c r="K197" s="19"/>
      <c r="L197" s="19"/>
      <c r="M197" s="19"/>
      <c r="N197" s="19"/>
      <c r="O197" s="69"/>
      <c r="P197" s="69"/>
    </row>
    <row r="198" spans="1:16" ht="15">
      <c r="A198" s="36" t="s">
        <v>180</v>
      </c>
      <c r="B198" s="15" t="s">
        <v>13</v>
      </c>
      <c r="C198" s="16">
        <v>1</v>
      </c>
      <c r="D198" s="31"/>
      <c r="E198" s="31"/>
      <c r="F198" s="31"/>
      <c r="G198" s="18">
        <v>15.8</v>
      </c>
      <c r="H198" s="19">
        <v>15.8</v>
      </c>
      <c r="I198" s="19">
        <v>18.47</v>
      </c>
      <c r="J198" s="19">
        <v>15.8</v>
      </c>
      <c r="K198" s="19">
        <v>15.8</v>
      </c>
      <c r="L198" s="19">
        <v>15.8</v>
      </c>
      <c r="M198" s="19">
        <v>15.8</v>
      </c>
      <c r="N198" s="19">
        <v>15.8</v>
      </c>
      <c r="O198" s="70"/>
      <c r="P198" s="70"/>
    </row>
    <row r="199" spans="1:16" ht="15">
      <c r="A199" s="36" t="s">
        <v>181</v>
      </c>
      <c r="B199" s="15" t="s">
        <v>164</v>
      </c>
      <c r="C199" s="16">
        <v>1</v>
      </c>
      <c r="D199" s="31"/>
      <c r="E199" s="31"/>
      <c r="F199" s="31"/>
      <c r="G199" s="18"/>
      <c r="H199" s="19"/>
      <c r="I199" s="19"/>
      <c r="J199" s="19"/>
      <c r="K199" s="19"/>
      <c r="L199" s="19"/>
      <c r="M199" s="19"/>
      <c r="N199" s="19"/>
      <c r="O199" s="70"/>
      <c r="P199" s="70"/>
    </row>
    <row r="200" spans="1:16" ht="21">
      <c r="A200" s="59" t="s">
        <v>182</v>
      </c>
      <c r="B200" s="15" t="s">
        <v>13</v>
      </c>
      <c r="C200" s="16">
        <v>1</v>
      </c>
      <c r="D200" s="31"/>
      <c r="E200" s="31"/>
      <c r="F200" s="31"/>
      <c r="G200" s="18">
        <v>0.16</v>
      </c>
      <c r="H200" s="19">
        <v>0.16</v>
      </c>
      <c r="I200" s="19">
        <v>0.16800000000000001</v>
      </c>
      <c r="J200" s="19">
        <v>0.16</v>
      </c>
      <c r="K200" s="19">
        <v>0.16</v>
      </c>
      <c r="L200" s="19">
        <v>0.16</v>
      </c>
      <c r="M200" s="19">
        <v>0.16</v>
      </c>
      <c r="N200" s="19">
        <v>0.16</v>
      </c>
      <c r="O200" s="70"/>
      <c r="P200" s="70"/>
    </row>
    <row r="201" spans="1:16" ht="15">
      <c r="A201" s="59" t="s">
        <v>183</v>
      </c>
      <c r="B201" s="15" t="s">
        <v>13</v>
      </c>
      <c r="C201" s="16">
        <v>1</v>
      </c>
      <c r="D201" s="31"/>
      <c r="E201" s="31"/>
      <c r="F201" s="31"/>
      <c r="G201" s="18"/>
      <c r="H201" s="19"/>
      <c r="I201" s="19">
        <f>I198-I202-I200</f>
        <v>2.501999999999998</v>
      </c>
      <c r="J201" s="19"/>
      <c r="K201" s="19"/>
      <c r="L201" s="19"/>
      <c r="M201" s="19"/>
      <c r="N201" s="19"/>
      <c r="O201" s="71"/>
      <c r="P201" s="71"/>
    </row>
    <row r="202" spans="1:16" ht="42">
      <c r="A202" s="59" t="s">
        <v>184</v>
      </c>
      <c r="B202" s="15" t="s">
        <v>13</v>
      </c>
      <c r="C202" s="16">
        <v>1</v>
      </c>
      <c r="D202" s="31"/>
      <c r="E202" s="31"/>
      <c r="F202" s="31"/>
      <c r="G202" s="18">
        <f>G198-G200</f>
        <v>15.64</v>
      </c>
      <c r="H202" s="19">
        <v>15.64</v>
      </c>
      <c r="I202" s="19">
        <v>15.8</v>
      </c>
      <c r="J202" s="19">
        <v>15.64</v>
      </c>
      <c r="K202" s="19">
        <v>15.64</v>
      </c>
      <c r="L202" s="19">
        <v>15.64</v>
      </c>
      <c r="M202" s="19">
        <v>15.64</v>
      </c>
      <c r="N202" s="19">
        <v>15.64</v>
      </c>
      <c r="O202" s="71"/>
      <c r="P202" s="71"/>
    </row>
    <row r="203" spans="1:16" ht="21">
      <c r="A203" s="14" t="s">
        <v>185</v>
      </c>
      <c r="B203" s="15" t="s">
        <v>13</v>
      </c>
      <c r="C203" s="16">
        <v>1</v>
      </c>
      <c r="D203" s="31"/>
      <c r="E203" s="31"/>
      <c r="F203" s="31"/>
      <c r="G203" s="18">
        <v>0.92</v>
      </c>
      <c r="H203" s="19">
        <v>1.6</v>
      </c>
      <c r="I203" s="19">
        <v>1.74</v>
      </c>
      <c r="J203" s="19">
        <v>1.7</v>
      </c>
      <c r="K203" s="19">
        <v>1.7</v>
      </c>
      <c r="L203" s="19">
        <v>1.7</v>
      </c>
      <c r="M203" s="19">
        <v>1.7</v>
      </c>
      <c r="N203" s="19">
        <v>1.7</v>
      </c>
    </row>
    <row r="204" spans="1:16" ht="31.5" customHeight="1">
      <c r="A204" s="14" t="s">
        <v>186</v>
      </c>
      <c r="B204" s="15" t="s">
        <v>13</v>
      </c>
      <c r="C204" s="16">
        <v>1</v>
      </c>
      <c r="D204" s="31"/>
      <c r="E204" s="31"/>
      <c r="F204" s="31"/>
      <c r="G204" s="18">
        <v>3.7</v>
      </c>
      <c r="H204" s="19">
        <f t="shared" ref="H204:N204" si="27">66.58</f>
        <v>66.58</v>
      </c>
      <c r="I204" s="19">
        <f t="shared" si="27"/>
        <v>66.58</v>
      </c>
      <c r="J204" s="19">
        <f t="shared" si="27"/>
        <v>66.58</v>
      </c>
      <c r="K204" s="19">
        <f t="shared" si="27"/>
        <v>66.58</v>
      </c>
      <c r="L204" s="19">
        <f t="shared" si="27"/>
        <v>66.58</v>
      </c>
      <c r="M204" s="19">
        <f t="shared" si="27"/>
        <v>66.58</v>
      </c>
      <c r="N204" s="19">
        <f t="shared" si="27"/>
        <v>66.58</v>
      </c>
    </row>
    <row r="205" spans="1:16" ht="12.75">
      <c r="A205" s="14" t="s">
        <v>187</v>
      </c>
      <c r="B205" s="15" t="s">
        <v>188</v>
      </c>
      <c r="C205" s="16">
        <v>1</v>
      </c>
      <c r="D205" s="31"/>
      <c r="E205" s="31"/>
      <c r="F205" s="31"/>
      <c r="G205" s="18">
        <v>9.02</v>
      </c>
      <c r="H205" s="19">
        <v>8.9</v>
      </c>
      <c r="I205" s="19">
        <v>10.1</v>
      </c>
      <c r="J205" s="66">
        <v>8.9</v>
      </c>
      <c r="K205" s="66">
        <v>8.9</v>
      </c>
      <c r="L205" s="66">
        <v>8.9</v>
      </c>
      <c r="M205" s="66">
        <v>8.9</v>
      </c>
      <c r="N205" s="66">
        <v>8.9</v>
      </c>
    </row>
    <row r="206" spans="1:16" ht="12.75">
      <c r="A206" s="14" t="s">
        <v>189</v>
      </c>
      <c r="B206" s="15" t="s">
        <v>188</v>
      </c>
      <c r="C206" s="16">
        <v>1</v>
      </c>
      <c r="D206" s="31"/>
      <c r="E206" s="31"/>
      <c r="F206" s="31"/>
      <c r="G206" s="18">
        <v>2.75</v>
      </c>
      <c r="H206" s="19">
        <v>2.4</v>
      </c>
      <c r="I206" s="19">
        <v>2.4300000000000002</v>
      </c>
      <c r="J206" s="19">
        <v>2.4</v>
      </c>
      <c r="K206" s="19">
        <v>2.4</v>
      </c>
      <c r="L206" s="19">
        <v>2.4</v>
      </c>
      <c r="M206" s="19">
        <v>2.4</v>
      </c>
      <c r="N206" s="19">
        <v>2.4</v>
      </c>
    </row>
    <row r="207" spans="1:16" ht="12.75">
      <c r="A207" s="14" t="s">
        <v>190</v>
      </c>
      <c r="B207" s="15" t="s">
        <v>13</v>
      </c>
      <c r="C207" s="16">
        <v>1</v>
      </c>
      <c r="D207" s="31"/>
      <c r="E207" s="31"/>
      <c r="F207" s="31"/>
      <c r="G207" s="18">
        <v>3.2</v>
      </c>
      <c r="H207" s="19">
        <v>2.92</v>
      </c>
      <c r="I207" s="19">
        <v>3.278</v>
      </c>
      <c r="J207" s="66">
        <v>2.92</v>
      </c>
      <c r="K207" s="66">
        <v>2.92</v>
      </c>
      <c r="L207" s="66">
        <v>2.92</v>
      </c>
      <c r="M207" s="66">
        <v>2.92</v>
      </c>
      <c r="N207" s="66">
        <v>2.92</v>
      </c>
    </row>
    <row r="208" spans="1:16" ht="31.5">
      <c r="A208" s="14" t="s">
        <v>191</v>
      </c>
      <c r="B208" s="15" t="s">
        <v>13</v>
      </c>
      <c r="C208" s="16">
        <v>1</v>
      </c>
      <c r="D208" s="31"/>
      <c r="E208" s="68"/>
      <c r="F208" s="31"/>
      <c r="G208" s="18">
        <v>0.99</v>
      </c>
      <c r="H208" s="19">
        <v>0.79</v>
      </c>
      <c r="I208" s="19">
        <v>0.78600000000000003</v>
      </c>
      <c r="J208" s="19">
        <v>0.79</v>
      </c>
      <c r="K208" s="220">
        <f>798/1000</f>
        <v>0.79800000000000004</v>
      </c>
      <c r="L208" s="220">
        <f t="shared" ref="L208:N208" si="28">798/1000</f>
        <v>0.79800000000000004</v>
      </c>
      <c r="M208" s="220">
        <f t="shared" si="28"/>
        <v>0.79800000000000004</v>
      </c>
      <c r="N208" s="220">
        <f t="shared" si="28"/>
        <v>0.79800000000000004</v>
      </c>
    </row>
    <row r="209" spans="1:15" ht="21">
      <c r="A209" s="14" t="s">
        <v>192</v>
      </c>
      <c r="B209" s="15" t="s">
        <v>13</v>
      </c>
      <c r="C209" s="16">
        <v>1</v>
      </c>
      <c r="D209" s="31"/>
      <c r="E209" s="31"/>
      <c r="F209" s="31"/>
      <c r="G209" s="18">
        <v>6.569</v>
      </c>
      <c r="H209" s="19">
        <v>3.97</v>
      </c>
      <c r="I209" s="19">
        <v>3.97</v>
      </c>
      <c r="J209" s="19">
        <v>3.97</v>
      </c>
      <c r="K209" s="19">
        <v>4.49</v>
      </c>
      <c r="L209" s="19">
        <v>3.97</v>
      </c>
      <c r="M209" s="19">
        <v>3.97</v>
      </c>
      <c r="N209" s="19">
        <v>3.97</v>
      </c>
    </row>
    <row r="210" spans="1:15" ht="12.75">
      <c r="A210" s="14" t="s">
        <v>193</v>
      </c>
      <c r="B210" s="15" t="s">
        <v>30</v>
      </c>
      <c r="C210" s="16">
        <v>1</v>
      </c>
      <c r="D210" s="31"/>
      <c r="E210" s="31"/>
      <c r="F210" s="31"/>
      <c r="G210" s="18">
        <v>422.3</v>
      </c>
      <c r="H210" s="19">
        <v>516.1</v>
      </c>
      <c r="I210" s="19">
        <v>885</v>
      </c>
      <c r="J210" s="19">
        <v>660.6</v>
      </c>
      <c r="K210" s="221"/>
      <c r="L210" s="19">
        <f>J210*1.05</f>
        <v>693.63000000000011</v>
      </c>
      <c r="M210" s="19">
        <f t="shared" ref="J210:N211" si="29">L210*1.05</f>
        <v>728.31150000000014</v>
      </c>
      <c r="N210" s="19">
        <f t="shared" si="29"/>
        <v>764.72707500000013</v>
      </c>
    </row>
    <row r="211" spans="1:15" ht="12.75">
      <c r="A211" s="14" t="s">
        <v>194</v>
      </c>
      <c r="B211" s="15" t="s">
        <v>30</v>
      </c>
      <c r="C211" s="16">
        <v>1</v>
      </c>
      <c r="D211" s="31"/>
      <c r="E211" s="31"/>
      <c r="F211" s="31"/>
      <c r="G211" s="18">
        <v>1529.4</v>
      </c>
      <c r="H211" s="19">
        <v>2062.4</v>
      </c>
      <c r="I211" s="19">
        <v>2178.1999999999998</v>
      </c>
      <c r="J211" s="19">
        <f t="shared" si="29"/>
        <v>2287.11</v>
      </c>
      <c r="K211" s="19">
        <v>2302.1</v>
      </c>
      <c r="L211" s="19">
        <f>J211*1.05</f>
        <v>2401.4655000000002</v>
      </c>
      <c r="M211" s="19">
        <f t="shared" si="29"/>
        <v>2521.5387750000004</v>
      </c>
      <c r="N211" s="19">
        <f t="shared" si="29"/>
        <v>2647.6157137500004</v>
      </c>
    </row>
    <row r="212" spans="1:15" ht="14.25">
      <c r="A212" s="24" t="s">
        <v>195</v>
      </c>
      <c r="B212" s="15"/>
      <c r="C212" s="16"/>
      <c r="D212" s="31"/>
      <c r="E212" s="31"/>
      <c r="F212" s="31"/>
      <c r="G212" s="18"/>
      <c r="H212" s="19"/>
      <c r="I212" s="19"/>
      <c r="J212" s="19"/>
      <c r="K212" s="19"/>
      <c r="L212" s="19"/>
      <c r="M212" s="19"/>
      <c r="N212" s="19"/>
    </row>
    <row r="213" spans="1:15" ht="21">
      <c r="A213" s="14" t="s">
        <v>196</v>
      </c>
      <c r="B213" s="15" t="s">
        <v>197</v>
      </c>
      <c r="C213" s="16">
        <v>1</v>
      </c>
      <c r="D213" s="17"/>
      <c r="E213" s="17"/>
      <c r="F213" s="17"/>
      <c r="G213" s="18">
        <v>670</v>
      </c>
      <c r="H213" s="19">
        <v>670</v>
      </c>
      <c r="I213" s="19">
        <v>670</v>
      </c>
      <c r="J213" s="19">
        <f>I213+50+50</f>
        <v>770</v>
      </c>
      <c r="K213" s="19">
        <v>880</v>
      </c>
      <c r="L213" s="19"/>
      <c r="M213" s="19"/>
      <c r="N213" s="19"/>
    </row>
    <row r="214" spans="1:15" ht="21">
      <c r="A214" s="72" t="s">
        <v>198</v>
      </c>
      <c r="B214" s="15"/>
      <c r="C214" s="16"/>
      <c r="D214" s="31"/>
      <c r="E214" s="31"/>
      <c r="F214" s="31"/>
      <c r="G214" s="41"/>
      <c r="H214" s="19"/>
      <c r="I214" s="19"/>
      <c r="J214" s="19"/>
      <c r="K214" s="19"/>
      <c r="L214" s="19"/>
      <c r="M214" s="19"/>
      <c r="N214" s="19"/>
    </row>
    <row r="215" spans="1:15" ht="24.75" customHeight="1">
      <c r="A215" s="36" t="s">
        <v>199</v>
      </c>
      <c r="B215" s="15" t="s">
        <v>197</v>
      </c>
      <c r="C215" s="16">
        <v>1</v>
      </c>
      <c r="D215" s="31"/>
      <c r="E215" s="31"/>
      <c r="F215" s="31"/>
      <c r="G215" s="18">
        <v>9622</v>
      </c>
      <c r="H215" s="19">
        <f>10073-493</f>
        <v>9580</v>
      </c>
      <c r="I215" s="19">
        <f>10013-449</f>
        <v>9564</v>
      </c>
      <c r="J215" s="19">
        <v>9957</v>
      </c>
      <c r="K215" s="19">
        <v>10054</v>
      </c>
      <c r="L215" s="19"/>
      <c r="M215" s="19"/>
      <c r="N215" s="19"/>
    </row>
    <row r="216" spans="1:15" ht="12.75">
      <c r="A216" s="36" t="s">
        <v>200</v>
      </c>
      <c r="B216" s="15" t="s">
        <v>197</v>
      </c>
      <c r="C216" s="16">
        <v>1</v>
      </c>
      <c r="D216" s="31"/>
      <c r="E216" s="68"/>
      <c r="F216" s="31"/>
      <c r="G216" s="18">
        <f>704+9</f>
        <v>713</v>
      </c>
      <c r="H216" s="19">
        <f>10566-H215</f>
        <v>986</v>
      </c>
      <c r="I216" s="19">
        <f>103+346</f>
        <v>449</v>
      </c>
      <c r="J216" s="19">
        <v>112</v>
      </c>
      <c r="K216" s="19">
        <v>112</v>
      </c>
      <c r="L216" s="19"/>
      <c r="M216" s="19"/>
      <c r="N216" s="19"/>
    </row>
    <row r="217" spans="1:15" ht="12.75">
      <c r="A217" s="36" t="s">
        <v>201</v>
      </c>
      <c r="B217" s="15" t="s">
        <v>197</v>
      </c>
      <c r="C217" s="16">
        <v>1</v>
      </c>
      <c r="D217" s="31"/>
      <c r="E217" s="31"/>
      <c r="F217" s="31"/>
      <c r="G217" s="18"/>
      <c r="H217" s="19">
        <v>0</v>
      </c>
      <c r="I217" s="19">
        <v>0</v>
      </c>
      <c r="J217" s="19">
        <v>0</v>
      </c>
      <c r="K217" s="19"/>
      <c r="L217" s="19"/>
      <c r="M217" s="19"/>
      <c r="N217" s="19"/>
    </row>
    <row r="218" spans="1:15" ht="42">
      <c r="A218" s="14" t="s">
        <v>202</v>
      </c>
      <c r="B218" s="15" t="s">
        <v>203</v>
      </c>
      <c r="C218" s="16">
        <v>1</v>
      </c>
      <c r="D218" s="31"/>
      <c r="E218" s="31"/>
      <c r="F218" s="31"/>
      <c r="G218" s="18">
        <f>7255/9622*100</f>
        <v>75.400124714196636</v>
      </c>
      <c r="H218" s="19">
        <f>7827/H215*100</f>
        <v>81.701461377870572</v>
      </c>
      <c r="I218" s="19">
        <f>7683/I215*100</f>
        <v>80.332496863237139</v>
      </c>
      <c r="J218" s="19">
        <f>7979/J215*100</f>
        <v>80.134578688359952</v>
      </c>
      <c r="K218" s="19">
        <f>7979/10166*100</f>
        <v>78.4871139091088</v>
      </c>
      <c r="L218" s="19"/>
      <c r="M218" s="19"/>
      <c r="N218" s="19"/>
    </row>
    <row r="219" spans="1:15" ht="19.5">
      <c r="A219" s="45" t="s">
        <v>204</v>
      </c>
      <c r="B219" s="73" t="s">
        <v>205</v>
      </c>
      <c r="C219" s="16">
        <v>1</v>
      </c>
      <c r="D219" s="31"/>
      <c r="E219" s="31"/>
      <c r="F219" s="31"/>
      <c r="G219" s="18">
        <v>18.04</v>
      </c>
      <c r="H219" s="19">
        <v>20.6</v>
      </c>
      <c r="I219" s="19">
        <v>20.7</v>
      </c>
      <c r="J219" s="19">
        <v>21.45</v>
      </c>
      <c r="K219" s="19">
        <v>22.04</v>
      </c>
      <c r="L219" s="19"/>
      <c r="M219" s="19"/>
      <c r="N219" s="19"/>
    </row>
    <row r="220" spans="1:15" ht="13.5" customHeight="1">
      <c r="A220" s="14" t="s">
        <v>206</v>
      </c>
      <c r="B220" s="73"/>
      <c r="C220" s="16"/>
      <c r="D220" s="31"/>
      <c r="E220" s="31"/>
      <c r="F220" s="31"/>
      <c r="G220" s="18"/>
      <c r="H220" s="19"/>
      <c r="I220" s="19"/>
      <c r="J220" s="19"/>
      <c r="K220" s="19"/>
      <c r="L220" s="19"/>
      <c r="M220" s="19"/>
      <c r="N220" s="19"/>
    </row>
    <row r="221" spans="1:15" ht="19.5">
      <c r="A221" s="36" t="s">
        <v>207</v>
      </c>
      <c r="B221" s="73" t="s">
        <v>205</v>
      </c>
      <c r="C221" s="16">
        <v>1</v>
      </c>
      <c r="D221" s="31"/>
      <c r="E221" s="31"/>
      <c r="F221" s="31"/>
      <c r="G221" s="74" t="s">
        <v>40</v>
      </c>
      <c r="H221" s="19">
        <v>1.56</v>
      </c>
      <c r="I221" s="19">
        <f>1450.72/1000</f>
        <v>1.45072</v>
      </c>
      <c r="J221" s="19">
        <f>1475.72/1000</f>
        <v>1.4757199999999999</v>
      </c>
      <c r="K221" s="19">
        <v>0.54</v>
      </c>
      <c r="L221" s="19"/>
      <c r="M221" s="19"/>
      <c r="N221" s="19"/>
      <c r="O221" s="224" t="s">
        <v>222</v>
      </c>
    </row>
    <row r="222" spans="1:15" ht="27" customHeight="1">
      <c r="A222" s="36" t="s">
        <v>208</v>
      </c>
      <c r="B222" s="73" t="s">
        <v>205</v>
      </c>
      <c r="C222" s="16">
        <v>1</v>
      </c>
      <c r="D222" s="31"/>
      <c r="E222" s="31"/>
      <c r="F222" s="31"/>
      <c r="G222" s="74" t="s">
        <v>40</v>
      </c>
      <c r="H222" s="19" t="s">
        <v>40</v>
      </c>
      <c r="I222" s="19"/>
      <c r="J222" s="19"/>
      <c r="K222" s="19">
        <v>1.5</v>
      </c>
      <c r="L222" s="19"/>
      <c r="M222" s="19"/>
      <c r="N222" s="19"/>
      <c r="O222" s="224" t="s">
        <v>223</v>
      </c>
    </row>
    <row r="223" spans="1:15" ht="39" customHeight="1">
      <c r="A223" s="36" t="s">
        <v>209</v>
      </c>
      <c r="B223" s="73" t="s">
        <v>205</v>
      </c>
      <c r="C223" s="16">
        <v>1</v>
      </c>
      <c r="D223" s="31"/>
      <c r="E223" s="31"/>
      <c r="F223" s="31"/>
      <c r="G223" s="18">
        <v>18.04</v>
      </c>
      <c r="H223" s="19">
        <v>19.04</v>
      </c>
      <c r="I223" s="19">
        <v>20.7</v>
      </c>
      <c r="J223" s="19">
        <v>20.399999999999999</v>
      </c>
      <c r="K223" s="19">
        <v>22.04</v>
      </c>
      <c r="L223" s="19"/>
      <c r="M223" s="19"/>
      <c r="N223" s="19"/>
      <c r="O223" s="223" t="s">
        <v>224</v>
      </c>
    </row>
    <row r="224" spans="1:15" ht="12.75">
      <c r="A224" s="75" t="s">
        <v>137</v>
      </c>
      <c r="B224" s="20"/>
      <c r="C224" s="16"/>
      <c r="D224" s="31"/>
      <c r="E224" s="31"/>
      <c r="F224" s="31"/>
      <c r="G224" s="18"/>
      <c r="H224" s="19"/>
      <c r="I224" s="19"/>
      <c r="J224" s="19"/>
      <c r="K224" s="19"/>
      <c r="L224" s="19"/>
      <c r="M224" s="19"/>
      <c r="N224" s="19"/>
    </row>
    <row r="225" spans="1:19" ht="35.25" customHeight="1">
      <c r="A225" s="36" t="s">
        <v>210</v>
      </c>
      <c r="B225" s="15" t="s">
        <v>211</v>
      </c>
      <c r="C225" s="16">
        <v>1</v>
      </c>
      <c r="D225" s="31"/>
      <c r="E225" s="31"/>
      <c r="F225" s="31"/>
      <c r="G225" s="18">
        <f>1154.44/G6</f>
        <v>18.30120481927711</v>
      </c>
      <c r="H225" s="19">
        <v>17.899999999999999</v>
      </c>
      <c r="I225" s="19">
        <v>18.899999999999999</v>
      </c>
      <c r="J225" s="19">
        <v>19</v>
      </c>
      <c r="K225" s="19">
        <v>19.100000000000001</v>
      </c>
      <c r="L225" s="19">
        <v>19.100000000000001</v>
      </c>
      <c r="M225" s="19">
        <v>19.100000000000001</v>
      </c>
      <c r="N225" s="19">
        <v>19.100000000000001</v>
      </c>
    </row>
    <row r="226" spans="1:19" ht="35.25" customHeight="1">
      <c r="A226" s="36" t="s">
        <v>212</v>
      </c>
      <c r="B226" s="15" t="s">
        <v>213</v>
      </c>
      <c r="C226" s="16">
        <v>1</v>
      </c>
      <c r="D226" s="31"/>
      <c r="E226" s="31"/>
      <c r="F226" s="31"/>
      <c r="G226" s="55">
        <v>338642.9</v>
      </c>
      <c r="H226" s="66">
        <v>404912</v>
      </c>
      <c r="I226" s="66">
        <v>434215</v>
      </c>
      <c r="J226" s="66">
        <v>444173</v>
      </c>
      <c r="K226" s="84">
        <f>J226*1.03</f>
        <v>457498.19</v>
      </c>
      <c r="L226" s="84">
        <f>J226*1.03</f>
        <v>457498.19</v>
      </c>
      <c r="M226" s="84">
        <f>L226*1.04</f>
        <v>475798.1176</v>
      </c>
      <c r="N226" s="84">
        <f>M226*1.04</f>
        <v>494830.042304</v>
      </c>
      <c r="O226" s="60"/>
    </row>
    <row r="227" spans="1:19" ht="35.25" customHeight="1">
      <c r="A227" s="36" t="s">
        <v>214</v>
      </c>
      <c r="B227" s="15" t="s">
        <v>188</v>
      </c>
      <c r="C227" s="16">
        <v>1</v>
      </c>
      <c r="D227" s="31"/>
      <c r="E227" s="31"/>
      <c r="F227" s="31"/>
      <c r="G227" s="76">
        <v>76.3</v>
      </c>
      <c r="H227" s="19">
        <v>40.75</v>
      </c>
      <c r="I227" s="19">
        <v>47.1</v>
      </c>
      <c r="J227" s="19">
        <v>49</v>
      </c>
      <c r="K227" s="19">
        <v>51</v>
      </c>
      <c r="L227" s="19">
        <v>55.7</v>
      </c>
      <c r="M227" s="19">
        <v>55.8</v>
      </c>
      <c r="N227" s="19">
        <v>61</v>
      </c>
      <c r="O227" s="37"/>
    </row>
    <row r="228" spans="1:19" ht="35.25" customHeight="1">
      <c r="A228" s="14" t="s">
        <v>215</v>
      </c>
      <c r="B228" s="15" t="s">
        <v>216</v>
      </c>
      <c r="C228" s="16">
        <v>1</v>
      </c>
      <c r="D228" s="31"/>
      <c r="E228" s="31"/>
      <c r="F228" s="31"/>
      <c r="G228" s="18">
        <v>7.78</v>
      </c>
      <c r="H228" s="19">
        <v>8.27</v>
      </c>
      <c r="I228" s="19">
        <v>8.61</v>
      </c>
      <c r="J228" s="19">
        <v>8.99</v>
      </c>
      <c r="K228" s="19">
        <f>J228+0.3</f>
        <v>9.2900000000000009</v>
      </c>
      <c r="L228" s="19">
        <f>K228+0.3</f>
        <v>9.5900000000000016</v>
      </c>
      <c r="M228" s="19">
        <v>9.89</v>
      </c>
      <c r="N228" s="19">
        <v>10.19</v>
      </c>
    </row>
    <row r="229" spans="1:19" ht="35.25" customHeight="1">
      <c r="A229" s="14" t="s">
        <v>215</v>
      </c>
      <c r="B229" s="15" t="s">
        <v>217</v>
      </c>
      <c r="C229" s="16">
        <v>1</v>
      </c>
      <c r="D229" s="31"/>
      <c r="E229" s="31"/>
      <c r="F229" s="31"/>
      <c r="G229" s="77">
        <f t="shared" ref="G229" si="30">G228/G6*1000</f>
        <v>123.33544705136336</v>
      </c>
      <c r="H229" s="19">
        <v>123.80239520958084</v>
      </c>
      <c r="I229" s="19">
        <v>126.431718061674</v>
      </c>
      <c r="J229" s="19">
        <f>8994/68400*1000</f>
        <v>131.49122807017542</v>
      </c>
      <c r="K229" s="32">
        <f>K228/K6*1000</f>
        <v>133.24727481353989</v>
      </c>
      <c r="L229" s="32">
        <f t="shared" ref="L229:N229" si="31">L228/L6*1000</f>
        <v>134.84251968503938</v>
      </c>
      <c r="M229" s="32">
        <f t="shared" si="31"/>
        <v>136.3761720904578</v>
      </c>
      <c r="N229" s="32">
        <f t="shared" si="31"/>
        <v>138.03847195881872</v>
      </c>
    </row>
    <row r="230" spans="1:19" ht="12.75">
      <c r="A230" s="78" t="s">
        <v>218</v>
      </c>
      <c r="B230" s="79" t="s">
        <v>213</v>
      </c>
      <c r="C230" s="80"/>
      <c r="D230" s="81"/>
      <c r="E230" s="82"/>
      <c r="F230" s="80"/>
      <c r="G230" s="83"/>
      <c r="H230" s="84">
        <v>640662</v>
      </c>
      <c r="I230" s="84">
        <v>673938.19</v>
      </c>
      <c r="J230" s="84">
        <v>752632</v>
      </c>
      <c r="K230" s="84">
        <v>871557.7</v>
      </c>
      <c r="L230" s="84">
        <v>938753</v>
      </c>
      <c r="M230" s="84">
        <v>997984</v>
      </c>
      <c r="N230" s="84">
        <v>1062684</v>
      </c>
      <c r="O230" s="37"/>
      <c r="P230" s="37"/>
      <c r="Q230" s="37"/>
      <c r="R230" s="37"/>
      <c r="S230" s="37"/>
    </row>
    <row r="231" spans="1:19" ht="12.75">
      <c r="A231" s="14" t="s">
        <v>14</v>
      </c>
      <c r="B231" s="20" t="s">
        <v>15</v>
      </c>
      <c r="C231" s="80"/>
      <c r="D231" s="81"/>
      <c r="E231" s="82"/>
      <c r="F231" s="80"/>
      <c r="G231" s="83"/>
      <c r="H231" s="85">
        <v>96.331531236754259</v>
      </c>
      <c r="I231" s="85">
        <v>104.76239239490819</v>
      </c>
      <c r="J231" s="85">
        <f>J230/I230/J232*10000</f>
        <v>98.220501576932392</v>
      </c>
      <c r="K231" s="85">
        <f t="shared" ref="K231:N231" si="32">K230/J230/K232*10000</f>
        <v>108.12447053531673</v>
      </c>
      <c r="L231" s="85">
        <f t="shared" si="32"/>
        <v>101.13595645617512</v>
      </c>
      <c r="M231" s="85">
        <f t="shared" si="32"/>
        <v>101.24718135451523</v>
      </c>
      <c r="N231" s="85">
        <f t="shared" si="32"/>
        <v>101.31595610737928</v>
      </c>
      <c r="O231" s="37"/>
    </row>
    <row r="232" spans="1:19" ht="12.75">
      <c r="A232" s="14" t="s">
        <v>16</v>
      </c>
      <c r="B232" s="20" t="s">
        <v>15</v>
      </c>
      <c r="C232" s="80"/>
      <c r="D232" s="81"/>
      <c r="E232" s="82"/>
      <c r="F232" s="80"/>
      <c r="G232" s="83"/>
      <c r="H232" s="85">
        <v>109.2</v>
      </c>
      <c r="I232" s="85">
        <v>106.6</v>
      </c>
      <c r="J232" s="85">
        <v>113.7</v>
      </c>
      <c r="K232" s="85">
        <v>107.1</v>
      </c>
      <c r="L232" s="85">
        <v>106.5</v>
      </c>
      <c r="M232" s="85">
        <v>105</v>
      </c>
      <c r="N232" s="85">
        <v>105.1</v>
      </c>
      <c r="O232" s="37"/>
    </row>
    <row r="233" spans="1:19" ht="18.75">
      <c r="A233" s="86"/>
      <c r="B233" s="87"/>
      <c r="C233" s="88"/>
      <c r="D233" s="89"/>
      <c r="E233" s="90"/>
      <c r="F233" s="88"/>
      <c r="K233" s="215"/>
      <c r="M233" s="83"/>
      <c r="N233" s="83"/>
    </row>
    <row r="234" spans="1:19" ht="28.5" customHeight="1">
      <c r="A234" s="360" t="s">
        <v>219</v>
      </c>
      <c r="B234" s="360"/>
      <c r="C234" s="360"/>
      <c r="D234" s="360"/>
      <c r="E234" s="360"/>
      <c r="F234" s="360"/>
      <c r="G234" s="360"/>
      <c r="H234" s="360"/>
      <c r="I234" s="360"/>
      <c r="J234" s="360"/>
      <c r="K234" s="360"/>
      <c r="L234" s="360"/>
      <c r="M234" s="360"/>
      <c r="N234" s="360"/>
      <c r="O234" s="360"/>
      <c r="P234" s="360"/>
    </row>
    <row r="235" spans="1:19" ht="16.5" customHeight="1">
      <c r="A235" s="92"/>
      <c r="B235" s="92"/>
      <c r="C235" s="92"/>
      <c r="D235" s="92"/>
      <c r="E235" s="92"/>
      <c r="F235" s="92"/>
      <c r="G235" s="92"/>
      <c r="H235" s="213"/>
      <c r="I235" s="213"/>
      <c r="J235" s="213"/>
      <c r="K235" s="213"/>
      <c r="L235" s="213"/>
      <c r="M235" s="213"/>
      <c r="N235" s="213"/>
    </row>
    <row r="236" spans="1:19" ht="16.5" customHeight="1">
      <c r="A236" s="92"/>
      <c r="B236" s="92"/>
      <c r="C236" s="92"/>
      <c r="D236" s="92"/>
      <c r="E236" s="92"/>
      <c r="F236" s="92"/>
      <c r="G236" s="92"/>
      <c r="H236" s="213"/>
      <c r="I236" s="213"/>
      <c r="J236" s="213"/>
      <c r="K236" s="213"/>
      <c r="L236" s="213"/>
      <c r="M236" s="213"/>
      <c r="N236" s="213"/>
    </row>
    <row r="237" spans="1:19" ht="16.5" customHeight="1">
      <c r="A237" s="92"/>
      <c r="B237" s="92"/>
      <c r="C237" s="92"/>
      <c r="D237" s="92"/>
      <c r="E237" s="92"/>
      <c r="F237" s="92"/>
      <c r="G237" s="92"/>
      <c r="H237" s="213"/>
      <c r="I237" s="213"/>
      <c r="J237" s="213"/>
      <c r="K237" s="213"/>
      <c r="L237" s="213"/>
      <c r="M237" s="213"/>
      <c r="N237" s="213"/>
    </row>
    <row r="238" spans="1:19" ht="56.25" customHeight="1">
      <c r="A238" s="92"/>
      <c r="B238" s="92"/>
      <c r="C238" s="92"/>
      <c r="D238" s="92"/>
      <c r="E238" s="92"/>
      <c r="F238" s="92"/>
      <c r="G238" s="92"/>
      <c r="H238" s="213"/>
      <c r="I238" s="213"/>
      <c r="J238" s="213"/>
      <c r="K238" s="213"/>
      <c r="L238" s="213"/>
      <c r="M238" s="213"/>
      <c r="N238" s="213"/>
    </row>
    <row r="239" spans="1:19" ht="56.25" customHeight="1">
      <c r="A239" s="92"/>
      <c r="B239" s="92"/>
      <c r="C239" s="92"/>
      <c r="D239" s="92"/>
      <c r="E239" s="92"/>
      <c r="F239" s="92"/>
      <c r="G239" s="92"/>
      <c r="H239" s="213"/>
      <c r="I239" s="213"/>
      <c r="J239" s="213"/>
      <c r="K239" s="213"/>
      <c r="L239" s="213"/>
      <c r="M239" s="213"/>
      <c r="N239" s="213"/>
    </row>
    <row r="240" spans="1:19" ht="56.25" customHeight="1">
      <c r="A240" s="92"/>
      <c r="B240" s="92"/>
      <c r="C240" s="92"/>
      <c r="D240" s="92"/>
      <c r="E240" s="92"/>
      <c r="F240" s="92"/>
      <c r="G240" s="92"/>
      <c r="H240" s="213"/>
      <c r="I240" s="213"/>
      <c r="J240" s="213"/>
      <c r="K240" s="213"/>
      <c r="L240" s="213"/>
      <c r="M240" s="213"/>
      <c r="N240" s="213"/>
    </row>
    <row r="241" spans="1:14" ht="56.25" customHeight="1">
      <c r="A241" s="92"/>
      <c r="B241" s="92"/>
      <c r="C241" s="92"/>
      <c r="D241" s="92"/>
      <c r="E241" s="92"/>
      <c r="F241" s="92"/>
      <c r="G241" s="92"/>
      <c r="H241" s="213"/>
      <c r="I241" s="213"/>
      <c r="J241" s="213"/>
      <c r="K241" s="213"/>
      <c r="L241" s="213"/>
      <c r="M241" s="213"/>
      <c r="N241" s="213"/>
    </row>
    <row r="242" spans="1:14" ht="56.25" customHeight="1">
      <c r="A242" s="92"/>
      <c r="B242" s="92"/>
      <c r="C242" s="92"/>
      <c r="D242" s="92"/>
      <c r="E242" s="92"/>
      <c r="F242" s="92"/>
      <c r="G242" s="92"/>
      <c r="H242" s="213"/>
      <c r="I242" s="213"/>
      <c r="J242" s="213"/>
      <c r="K242" s="213"/>
      <c r="L242" s="213"/>
      <c r="M242" s="213"/>
      <c r="N242" s="213"/>
    </row>
    <row r="243" spans="1:14" ht="18.75">
      <c r="A243" s="93"/>
      <c r="B243" s="87"/>
      <c r="C243" s="88"/>
      <c r="D243" s="89"/>
      <c r="E243" s="90"/>
      <c r="F243" s="88"/>
      <c r="G243" s="91"/>
      <c r="H243" s="83"/>
      <c r="I243" s="83"/>
      <c r="J243" s="83"/>
      <c r="K243" s="83"/>
      <c r="L243" s="83"/>
      <c r="M243" s="83"/>
      <c r="N243" s="83"/>
    </row>
    <row r="244" spans="1:14" ht="18.75">
      <c r="A244" s="93"/>
      <c r="B244" s="87"/>
      <c r="C244" s="88"/>
      <c r="D244" s="89"/>
      <c r="E244" s="90"/>
      <c r="F244" s="88"/>
      <c r="G244" s="91"/>
      <c r="H244" s="83"/>
      <c r="I244" s="83"/>
      <c r="J244" s="83"/>
      <c r="K244" s="83"/>
      <c r="L244" s="83"/>
      <c r="M244" s="83"/>
      <c r="N244" s="83"/>
    </row>
    <row r="245" spans="1:14" ht="18.75">
      <c r="A245" s="93"/>
      <c r="B245" s="87"/>
      <c r="C245" s="88"/>
      <c r="D245" s="89"/>
      <c r="E245" s="90"/>
      <c r="F245" s="88"/>
      <c r="G245" s="91"/>
      <c r="H245" s="83"/>
      <c r="I245" s="83"/>
      <c r="J245" s="83"/>
      <c r="K245" s="83"/>
      <c r="L245" s="83"/>
      <c r="M245" s="83"/>
      <c r="N245" s="83"/>
    </row>
    <row r="246" spans="1:14" ht="18.75">
      <c r="A246" s="93"/>
      <c r="B246" s="87"/>
      <c r="C246" s="88"/>
      <c r="D246" s="89"/>
      <c r="E246" s="90"/>
      <c r="F246" s="88"/>
      <c r="G246" s="91"/>
      <c r="H246" s="83"/>
      <c r="I246" s="83"/>
      <c r="J246" s="83"/>
      <c r="K246" s="83"/>
      <c r="L246" s="83"/>
      <c r="M246" s="83"/>
      <c r="N246" s="83"/>
    </row>
    <row r="247" spans="1:14" ht="18.75">
      <c r="A247" s="93"/>
      <c r="B247" s="87"/>
      <c r="C247" s="88"/>
      <c r="D247" s="89"/>
      <c r="E247" s="90"/>
      <c r="F247" s="88"/>
      <c r="G247" s="91"/>
      <c r="H247" s="83"/>
      <c r="I247" s="83"/>
      <c r="J247" s="83"/>
      <c r="K247" s="83"/>
      <c r="L247" s="83"/>
      <c r="M247" s="83"/>
      <c r="N247" s="83"/>
    </row>
    <row r="248" spans="1:14">
      <c r="A248" s="87"/>
      <c r="B248" s="87"/>
      <c r="C248" s="88"/>
      <c r="D248" s="89"/>
      <c r="E248" s="90"/>
      <c r="F248" s="88"/>
      <c r="G248" s="91"/>
      <c r="H248" s="83"/>
      <c r="I248" s="83"/>
      <c r="J248" s="83"/>
      <c r="K248" s="83"/>
      <c r="L248" s="83"/>
      <c r="M248" s="83"/>
      <c r="N248" s="83"/>
    </row>
    <row r="249" spans="1:14">
      <c r="A249" s="87"/>
      <c r="B249" s="87"/>
      <c r="C249" s="88"/>
      <c r="D249" s="89"/>
      <c r="E249" s="90"/>
      <c r="F249" s="88"/>
      <c r="G249" s="91"/>
      <c r="H249" s="83"/>
      <c r="I249" s="83"/>
      <c r="J249" s="83"/>
      <c r="K249" s="83"/>
      <c r="L249" s="83"/>
      <c r="M249" s="83"/>
      <c r="N249" s="83"/>
    </row>
    <row r="250" spans="1:14">
      <c r="A250" s="87"/>
      <c r="B250" s="87"/>
      <c r="C250" s="88"/>
      <c r="D250" s="89"/>
      <c r="E250" s="90"/>
      <c r="F250" s="88"/>
      <c r="G250" s="91"/>
      <c r="H250" s="83"/>
      <c r="I250" s="83"/>
      <c r="J250" s="83"/>
      <c r="K250" s="83"/>
      <c r="L250" s="83"/>
      <c r="M250" s="83"/>
      <c r="N250" s="83"/>
    </row>
    <row r="251" spans="1:14" ht="12.75">
      <c r="A251" s="87"/>
      <c r="B251" s="87"/>
      <c r="C251" s="88"/>
      <c r="D251" s="89"/>
      <c r="E251" s="90"/>
      <c r="F251" s="88"/>
      <c r="G251" s="94">
        <v>77.86</v>
      </c>
      <c r="H251" s="216">
        <v>80.400000000000006</v>
      </c>
      <c r="I251" s="214"/>
      <c r="J251" s="214">
        <f>80.4+1.35</f>
        <v>81.75</v>
      </c>
      <c r="K251" s="214"/>
      <c r="L251" s="214"/>
      <c r="M251" s="217">
        <f>J251+1.45</f>
        <v>83.2</v>
      </c>
      <c r="N251" s="217"/>
    </row>
    <row r="252" spans="1:14">
      <c r="A252" s="87"/>
      <c r="B252" s="87"/>
      <c r="C252" s="88"/>
      <c r="D252" s="89"/>
      <c r="E252" s="90"/>
      <c r="F252" s="88"/>
      <c r="G252" s="91"/>
      <c r="H252" s="83"/>
      <c r="I252" s="83"/>
      <c r="J252" s="83"/>
      <c r="K252" s="83"/>
      <c r="L252" s="83"/>
      <c r="M252" s="83"/>
      <c r="N252" s="83"/>
    </row>
    <row r="253" spans="1:14">
      <c r="A253" s="87"/>
      <c r="B253" s="87"/>
      <c r="C253" s="88"/>
      <c r="D253" s="89"/>
      <c r="E253" s="90"/>
      <c r="F253" s="88"/>
      <c r="G253" s="91"/>
      <c r="H253" s="83"/>
      <c r="I253" s="83"/>
      <c r="J253" s="83"/>
      <c r="K253" s="83"/>
      <c r="L253" s="83"/>
      <c r="M253" s="83"/>
      <c r="N253" s="83"/>
    </row>
    <row r="254" spans="1:14">
      <c r="A254" s="87"/>
      <c r="B254" s="87"/>
      <c r="C254" s="88"/>
      <c r="D254" s="89"/>
      <c r="E254" s="90"/>
      <c r="F254" s="88"/>
      <c r="G254" s="91"/>
      <c r="H254" s="83"/>
      <c r="I254" s="83"/>
      <c r="J254" s="83"/>
      <c r="K254" s="83"/>
      <c r="L254" s="83"/>
      <c r="M254" s="83"/>
      <c r="N254" s="83"/>
    </row>
    <row r="255" spans="1:14">
      <c r="A255" s="87"/>
      <c r="B255" s="87"/>
      <c r="C255" s="88"/>
      <c r="D255" s="89"/>
      <c r="E255" s="90"/>
      <c r="F255" s="88"/>
      <c r="G255" s="91"/>
      <c r="H255" s="83"/>
      <c r="I255" s="83"/>
      <c r="J255" s="83"/>
      <c r="K255" s="83"/>
      <c r="L255" s="83"/>
      <c r="M255" s="83"/>
      <c r="N255" s="83"/>
    </row>
    <row r="256" spans="1:14">
      <c r="A256" s="87"/>
      <c r="B256" s="87"/>
      <c r="C256" s="88"/>
      <c r="D256" s="89"/>
      <c r="E256" s="90"/>
      <c r="F256" s="88"/>
      <c r="G256" s="91"/>
      <c r="H256" s="83"/>
      <c r="I256" s="83"/>
      <c r="J256" s="83"/>
      <c r="K256" s="83"/>
      <c r="L256" s="83"/>
      <c r="M256" s="83"/>
      <c r="N256" s="83"/>
    </row>
    <row r="257" spans="1:14">
      <c r="A257" s="87"/>
      <c r="B257" s="87"/>
      <c r="C257" s="88"/>
      <c r="D257" s="89"/>
      <c r="E257" s="90"/>
      <c r="F257" s="88"/>
      <c r="G257" s="91"/>
      <c r="H257" s="83"/>
      <c r="I257" s="83"/>
      <c r="J257" s="83"/>
      <c r="K257" s="83"/>
      <c r="L257" s="83"/>
      <c r="M257" s="83"/>
      <c r="N257" s="83"/>
    </row>
    <row r="258" spans="1:14">
      <c r="A258" s="87"/>
      <c r="B258" s="87"/>
      <c r="C258" s="88"/>
      <c r="D258" s="89"/>
      <c r="E258" s="90"/>
      <c r="F258" s="88"/>
      <c r="G258" s="91"/>
      <c r="H258" s="83"/>
      <c r="I258" s="83"/>
      <c r="J258" s="83"/>
      <c r="K258" s="83"/>
      <c r="L258" s="83"/>
      <c r="M258" s="83"/>
      <c r="N258" s="83"/>
    </row>
    <row r="259" spans="1:14">
      <c r="A259" s="87"/>
      <c r="B259" s="87"/>
      <c r="C259" s="88"/>
      <c r="D259" s="89"/>
      <c r="E259" s="90"/>
      <c r="F259" s="88"/>
      <c r="G259" s="91"/>
      <c r="H259" s="83"/>
      <c r="I259" s="83"/>
      <c r="J259" s="83"/>
      <c r="K259" s="83"/>
      <c r="L259" s="83"/>
      <c r="M259" s="83"/>
      <c r="N259" s="83"/>
    </row>
    <row r="260" spans="1:14">
      <c r="A260" s="87"/>
      <c r="B260" s="87"/>
      <c r="C260" s="88"/>
      <c r="D260" s="89"/>
      <c r="E260" s="90"/>
      <c r="F260" s="88"/>
      <c r="G260" s="91"/>
      <c r="H260" s="83"/>
      <c r="I260" s="83"/>
      <c r="J260" s="83"/>
      <c r="K260" s="83"/>
      <c r="L260" s="83"/>
      <c r="M260" s="83"/>
      <c r="N260" s="83"/>
    </row>
    <row r="261" spans="1:14">
      <c r="A261" s="87"/>
      <c r="B261" s="87"/>
      <c r="C261" s="88"/>
      <c r="D261" s="89"/>
      <c r="E261" s="90"/>
      <c r="F261" s="88"/>
      <c r="G261" s="91"/>
      <c r="H261" s="83"/>
      <c r="I261" s="83"/>
      <c r="J261" s="83"/>
      <c r="K261" s="83"/>
      <c r="L261" s="83"/>
      <c r="M261" s="83"/>
      <c r="N261" s="83"/>
    </row>
    <row r="262" spans="1:14">
      <c r="A262" s="87"/>
      <c r="B262" s="87"/>
      <c r="C262" s="88"/>
      <c r="D262" s="89"/>
      <c r="E262" s="90"/>
      <c r="F262" s="88"/>
      <c r="G262" s="91"/>
      <c r="H262" s="83"/>
      <c r="I262" s="83"/>
      <c r="J262" s="83"/>
      <c r="K262" s="83"/>
      <c r="L262" s="83"/>
      <c r="M262" s="83"/>
      <c r="N262" s="83"/>
    </row>
    <row r="263" spans="1:14">
      <c r="A263" s="87"/>
      <c r="B263" s="87"/>
      <c r="C263" s="88"/>
      <c r="D263" s="89"/>
      <c r="E263" s="90"/>
      <c r="F263" s="88"/>
      <c r="G263" s="91"/>
      <c r="H263" s="83"/>
      <c r="I263" s="83"/>
      <c r="J263" s="83"/>
      <c r="K263" s="83"/>
      <c r="L263" s="83"/>
      <c r="M263" s="83"/>
      <c r="N263" s="83"/>
    </row>
    <row r="264" spans="1:14">
      <c r="A264" s="87"/>
      <c r="B264" s="87"/>
      <c r="C264" s="88"/>
      <c r="D264" s="89"/>
      <c r="E264" s="90"/>
      <c r="F264" s="88"/>
      <c r="G264" s="91"/>
      <c r="H264" s="83"/>
      <c r="I264" s="83"/>
      <c r="J264" s="83"/>
      <c r="K264" s="83"/>
      <c r="L264" s="83"/>
      <c r="M264" s="83"/>
      <c r="N264" s="83"/>
    </row>
    <row r="265" spans="1:14">
      <c r="A265" s="87"/>
      <c r="B265" s="87"/>
      <c r="C265" s="88"/>
      <c r="D265" s="89"/>
      <c r="E265" s="90"/>
      <c r="F265" s="88"/>
      <c r="G265" s="91"/>
      <c r="H265" s="83"/>
      <c r="I265" s="83"/>
      <c r="J265" s="83"/>
      <c r="K265" s="83"/>
      <c r="L265" s="83"/>
      <c r="M265" s="83"/>
      <c r="N265" s="83"/>
    </row>
    <row r="266" spans="1:14">
      <c r="A266" s="87"/>
      <c r="B266" s="87"/>
      <c r="C266" s="88"/>
      <c r="D266" s="89"/>
      <c r="E266" s="90"/>
      <c r="F266" s="88"/>
      <c r="G266" s="91"/>
      <c r="H266" s="83"/>
      <c r="I266" s="83"/>
      <c r="J266" s="83"/>
      <c r="K266" s="83"/>
      <c r="L266" s="83"/>
      <c r="M266" s="83"/>
      <c r="N266" s="83"/>
    </row>
    <row r="267" spans="1:14">
      <c r="A267" s="87"/>
      <c r="B267" s="87"/>
      <c r="C267" s="88"/>
      <c r="D267" s="89"/>
      <c r="E267" s="90"/>
      <c r="F267" s="88"/>
      <c r="G267" s="91"/>
      <c r="H267" s="83"/>
      <c r="I267" s="83"/>
      <c r="J267" s="83"/>
      <c r="K267" s="83"/>
      <c r="L267" s="83"/>
      <c r="M267" s="83"/>
      <c r="N267" s="83"/>
    </row>
    <row r="268" spans="1:14">
      <c r="A268" s="87"/>
      <c r="B268" s="87"/>
      <c r="C268" s="88"/>
      <c r="D268" s="89"/>
      <c r="E268" s="90"/>
      <c r="F268" s="88"/>
      <c r="G268" s="91"/>
      <c r="H268" s="83"/>
      <c r="I268" s="83"/>
      <c r="J268" s="83"/>
      <c r="K268" s="83"/>
      <c r="L268" s="83"/>
      <c r="M268" s="83"/>
      <c r="N268" s="83"/>
    </row>
    <row r="269" spans="1:14">
      <c r="A269" s="87"/>
      <c r="B269" s="87"/>
      <c r="C269" s="88"/>
      <c r="D269" s="89"/>
      <c r="E269" s="90"/>
      <c r="F269" s="88"/>
      <c r="G269" s="91"/>
      <c r="H269" s="83"/>
      <c r="I269" s="83"/>
      <c r="J269" s="83"/>
      <c r="K269" s="83"/>
      <c r="L269" s="83"/>
      <c r="M269" s="83"/>
      <c r="N269" s="83"/>
    </row>
    <row r="270" spans="1:14">
      <c r="A270" s="87"/>
      <c r="B270" s="87"/>
      <c r="C270" s="88"/>
      <c r="D270" s="89"/>
      <c r="E270" s="90"/>
      <c r="F270" s="88"/>
      <c r="G270" s="91"/>
      <c r="H270" s="83"/>
      <c r="I270" s="83"/>
      <c r="J270" s="83"/>
      <c r="K270" s="83"/>
      <c r="L270" s="83"/>
      <c r="M270" s="83"/>
      <c r="N270" s="83"/>
    </row>
    <row r="271" spans="1:14">
      <c r="A271" s="87"/>
      <c r="B271" s="87"/>
      <c r="C271" s="88"/>
      <c r="D271" s="89"/>
      <c r="E271" s="90"/>
      <c r="F271" s="88"/>
      <c r="G271" s="91"/>
      <c r="H271" s="83"/>
      <c r="I271" s="83"/>
      <c r="J271" s="83"/>
      <c r="K271" s="83"/>
      <c r="L271" s="83"/>
      <c r="M271" s="83"/>
      <c r="N271" s="83"/>
    </row>
    <row r="272" spans="1:14">
      <c r="A272" s="87"/>
      <c r="B272" s="87"/>
      <c r="C272" s="88"/>
      <c r="D272" s="89"/>
      <c r="E272" s="90"/>
      <c r="F272" s="88"/>
      <c r="G272" s="91"/>
      <c r="H272" s="83"/>
      <c r="I272" s="83"/>
      <c r="J272" s="83"/>
      <c r="K272" s="83"/>
      <c r="L272" s="83"/>
      <c r="M272" s="83"/>
      <c r="N272" s="83"/>
    </row>
    <row r="273" spans="1:14">
      <c r="A273" s="87"/>
      <c r="B273" s="87"/>
      <c r="C273" s="88"/>
      <c r="D273" s="89"/>
      <c r="E273" s="90"/>
      <c r="F273" s="88"/>
      <c r="G273" s="91"/>
      <c r="H273" s="83"/>
      <c r="I273" s="83"/>
      <c r="J273" s="83"/>
      <c r="K273" s="83"/>
      <c r="L273" s="83"/>
      <c r="M273" s="83"/>
      <c r="N273" s="83"/>
    </row>
    <row r="274" spans="1:14">
      <c r="A274" s="87"/>
      <c r="B274" s="87"/>
      <c r="C274" s="88"/>
      <c r="D274" s="89"/>
      <c r="E274" s="90"/>
      <c r="F274" s="88"/>
      <c r="G274" s="91"/>
      <c r="H274" s="83"/>
      <c r="I274" s="83"/>
      <c r="J274" s="83"/>
      <c r="K274" s="83"/>
      <c r="L274" s="83"/>
      <c r="M274" s="83"/>
      <c r="N274" s="83"/>
    </row>
    <row r="275" spans="1:14">
      <c r="A275" s="87"/>
      <c r="B275" s="87"/>
      <c r="C275" s="88"/>
      <c r="D275" s="89"/>
      <c r="E275" s="90"/>
      <c r="F275" s="88"/>
      <c r="G275" s="91"/>
      <c r="H275" s="83"/>
      <c r="I275" s="83"/>
      <c r="J275" s="83"/>
      <c r="K275" s="83"/>
      <c r="L275" s="83"/>
      <c r="M275" s="83"/>
      <c r="N275" s="83"/>
    </row>
    <row r="276" spans="1:14">
      <c r="A276" s="87"/>
      <c r="B276" s="87"/>
      <c r="C276" s="88"/>
      <c r="D276" s="89"/>
      <c r="E276" s="90"/>
      <c r="F276" s="88"/>
      <c r="G276" s="91"/>
      <c r="H276" s="83"/>
      <c r="I276" s="83"/>
      <c r="J276" s="83"/>
      <c r="K276" s="83"/>
      <c r="L276" s="83"/>
      <c r="M276" s="83"/>
      <c r="N276" s="83"/>
    </row>
    <row r="277" spans="1:14">
      <c r="A277" s="87"/>
      <c r="B277" s="87"/>
      <c r="C277" s="88"/>
      <c r="D277" s="89"/>
      <c r="E277" s="90"/>
      <c r="F277" s="88"/>
      <c r="G277" s="91"/>
      <c r="H277" s="83"/>
      <c r="I277" s="83"/>
      <c r="J277" s="83"/>
      <c r="K277" s="83"/>
      <c r="L277" s="83"/>
      <c r="M277" s="83"/>
      <c r="N277" s="83"/>
    </row>
    <row r="278" spans="1:14">
      <c r="A278" s="87"/>
      <c r="B278" s="87"/>
      <c r="C278" s="88"/>
      <c r="D278" s="89"/>
      <c r="E278" s="90"/>
      <c r="F278" s="88"/>
      <c r="G278" s="91"/>
      <c r="H278" s="83"/>
      <c r="I278" s="83"/>
      <c r="J278" s="83"/>
      <c r="K278" s="83"/>
      <c r="L278" s="83"/>
      <c r="M278" s="83"/>
      <c r="N278" s="83"/>
    </row>
    <row r="279" spans="1:14">
      <c r="A279" s="87"/>
      <c r="B279" s="87"/>
      <c r="C279" s="88"/>
      <c r="D279" s="89"/>
      <c r="E279" s="90"/>
      <c r="F279" s="88"/>
      <c r="G279" s="91"/>
      <c r="H279" s="83"/>
      <c r="I279" s="83"/>
      <c r="J279" s="83"/>
      <c r="K279" s="83"/>
      <c r="L279" s="83"/>
      <c r="M279" s="83"/>
      <c r="N279" s="83"/>
    </row>
    <row r="280" spans="1:14">
      <c r="A280" s="87"/>
      <c r="B280" s="87"/>
      <c r="C280" s="88"/>
      <c r="D280" s="89"/>
      <c r="E280" s="90"/>
      <c r="F280" s="88"/>
      <c r="G280" s="91"/>
      <c r="H280" s="83"/>
      <c r="I280" s="83"/>
      <c r="J280" s="83"/>
      <c r="K280" s="83"/>
      <c r="L280" s="83"/>
      <c r="M280" s="83"/>
      <c r="N280" s="83"/>
    </row>
    <row r="281" spans="1:14">
      <c r="A281" s="87"/>
      <c r="B281" s="87"/>
      <c r="C281" s="88"/>
      <c r="D281" s="89"/>
      <c r="E281" s="90"/>
      <c r="F281" s="88"/>
      <c r="G281" s="91"/>
      <c r="H281" s="83"/>
      <c r="I281" s="83"/>
      <c r="J281" s="83"/>
      <c r="K281" s="83"/>
      <c r="L281" s="83"/>
      <c r="M281" s="83"/>
      <c r="N281" s="83"/>
    </row>
    <row r="282" spans="1:14">
      <c r="A282" s="87"/>
      <c r="B282" s="87"/>
      <c r="C282" s="88"/>
      <c r="D282" s="89"/>
      <c r="E282" s="90"/>
      <c r="F282" s="88"/>
      <c r="G282" s="91"/>
      <c r="H282" s="83"/>
      <c r="I282" s="83"/>
      <c r="J282" s="83"/>
      <c r="K282" s="83"/>
      <c r="L282" s="83"/>
      <c r="M282" s="83"/>
      <c r="N282" s="83"/>
    </row>
    <row r="283" spans="1:14">
      <c r="A283" s="87"/>
      <c r="B283" s="87"/>
      <c r="C283" s="88"/>
      <c r="D283" s="89"/>
      <c r="E283" s="90"/>
      <c r="F283" s="88"/>
      <c r="G283" s="91"/>
      <c r="H283" s="83"/>
      <c r="I283" s="83"/>
      <c r="J283" s="83"/>
      <c r="K283" s="83"/>
      <c r="L283" s="83"/>
      <c r="M283" s="83"/>
      <c r="N283" s="83"/>
    </row>
    <row r="284" spans="1:14">
      <c r="A284" s="87"/>
      <c r="B284" s="87"/>
      <c r="C284" s="88"/>
      <c r="D284" s="89"/>
      <c r="E284" s="90"/>
      <c r="F284" s="88"/>
      <c r="G284" s="91"/>
      <c r="H284" s="83"/>
      <c r="I284" s="83"/>
      <c r="J284" s="83"/>
      <c r="K284" s="83"/>
      <c r="L284" s="83"/>
      <c r="M284" s="83"/>
      <c r="N284" s="83"/>
    </row>
    <row r="285" spans="1:14">
      <c r="A285" s="87"/>
      <c r="B285" s="87"/>
      <c r="C285" s="88"/>
      <c r="D285" s="89"/>
      <c r="E285" s="90"/>
      <c r="F285" s="88"/>
      <c r="G285" s="91"/>
      <c r="H285" s="83"/>
      <c r="I285" s="83"/>
      <c r="J285" s="83"/>
      <c r="K285" s="83"/>
      <c r="L285" s="83"/>
      <c r="M285" s="83"/>
      <c r="N285" s="83"/>
    </row>
    <row r="286" spans="1:14">
      <c r="A286" s="87"/>
      <c r="B286" s="87"/>
      <c r="C286" s="88"/>
      <c r="D286" s="89"/>
      <c r="E286" s="90"/>
      <c r="F286" s="88"/>
      <c r="G286" s="91"/>
      <c r="H286" s="83"/>
      <c r="I286" s="83"/>
      <c r="J286" s="83"/>
      <c r="K286" s="83"/>
      <c r="L286" s="83"/>
      <c r="M286" s="83"/>
      <c r="N286" s="83"/>
    </row>
    <row r="287" spans="1:14">
      <c r="A287" s="87"/>
      <c r="B287" s="87"/>
      <c r="C287" s="88"/>
      <c r="D287" s="89"/>
      <c r="E287" s="90"/>
      <c r="F287" s="88"/>
      <c r="G287" s="91"/>
      <c r="H287" s="83"/>
      <c r="I287" s="83"/>
      <c r="J287" s="83"/>
      <c r="K287" s="83"/>
      <c r="L287" s="83"/>
      <c r="M287" s="83"/>
      <c r="N287" s="83"/>
    </row>
  </sheetData>
  <mergeCells count="14">
    <mergeCell ref="M3:M4"/>
    <mergeCell ref="A234:P234"/>
    <mergeCell ref="A1:N1"/>
    <mergeCell ref="A2:A4"/>
    <mergeCell ref="B2:B4"/>
    <mergeCell ref="L2:N2"/>
    <mergeCell ref="G3:G4"/>
    <mergeCell ref="H3:H4"/>
    <mergeCell ref="I3:I4"/>
    <mergeCell ref="J3:J4"/>
    <mergeCell ref="K3:K4"/>
    <mergeCell ref="H2:J2"/>
    <mergeCell ref="L3:L4"/>
    <mergeCell ref="N3:N4"/>
  </mergeCells>
  <conditionalFormatting sqref="G126:G127 A126:A127">
    <cfRule type="expression" dxfId="35" priority="6">
      <formula>#REF!&lt;#REF!</formula>
    </cfRule>
  </conditionalFormatting>
  <conditionalFormatting sqref="G146:G167">
    <cfRule type="expression" dxfId="34" priority="5">
      <formula>H$251&lt;&gt;SUM(H$252,H$256,H$261:H$266,H$271)</formula>
    </cfRule>
  </conditionalFormatting>
  <conditionalFormatting sqref="G151:G155">
    <cfRule type="expression" dxfId="33" priority="4">
      <formula>H$256&lt;&gt;SUM(H$257:H$260)</formula>
    </cfRule>
  </conditionalFormatting>
  <conditionalFormatting sqref="G161:G166">
    <cfRule type="expression" dxfId="32" priority="3">
      <formula>H$266&lt;&gt;SUM(H$267:H$270)</formula>
    </cfRule>
  </conditionalFormatting>
  <conditionalFormatting sqref="G122:G125">
    <cfRule type="expression" dxfId="31" priority="2">
      <formula>#REF!&lt;&gt;SUM(H$228:H$230)</formula>
    </cfRule>
  </conditionalFormatting>
  <conditionalFormatting sqref="G120:G121">
    <cfRule type="expression" dxfId="30" priority="1">
      <formula>G$225&lt;&gt;SUM(G$226:G$227)</formula>
    </cfRule>
  </conditionalFormatting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87"/>
  <sheetViews>
    <sheetView view="pageBreakPreview" zoomScaleNormal="85" zoomScaleSheetLayoutView="100" workbookViewId="0">
      <pane ySplit="6" topLeftCell="A160" activePane="bottomLeft" state="frozen"/>
      <selection pane="bottomLeft" activeCell="L173" sqref="L173"/>
    </sheetView>
  </sheetViews>
  <sheetFormatPr defaultColWidth="8.85546875" defaultRowHeight="12"/>
  <cols>
    <col min="1" max="1" width="48.28515625" style="98" customWidth="1"/>
    <col min="2" max="2" width="12.5703125" style="98" customWidth="1"/>
    <col min="3" max="3" width="9.42578125" style="209" hidden="1" customWidth="1"/>
    <col min="4" max="4" width="5.140625" style="210" hidden="1" customWidth="1"/>
    <col min="5" max="5" width="6.28515625" style="211" hidden="1" customWidth="1"/>
    <col min="6" max="6" width="8.42578125" style="209" hidden="1" customWidth="1"/>
    <col min="7" max="7" width="10.85546875" style="98" hidden="1" customWidth="1"/>
    <col min="8" max="9" width="9.7109375" style="98" customWidth="1"/>
    <col min="10" max="11" width="10.7109375" style="98" customWidth="1"/>
    <col min="12" max="12" width="10.42578125" style="98" customWidth="1"/>
    <col min="13" max="13" width="9.85546875" style="98" customWidth="1"/>
    <col min="14" max="14" width="7.140625" style="98" customWidth="1"/>
    <col min="15" max="15" width="12.28515625" style="98" customWidth="1"/>
    <col min="16" max="17" width="7.140625" style="98" customWidth="1"/>
    <col min="18" max="256" width="8.85546875" style="98"/>
    <col min="257" max="257" width="50.28515625" style="98" customWidth="1"/>
    <col min="258" max="258" width="12.5703125" style="98" customWidth="1"/>
    <col min="259" max="263" width="0" style="98" hidden="1" customWidth="1"/>
    <col min="264" max="265" width="9.7109375" style="98" customWidth="1"/>
    <col min="266" max="267" width="10.7109375" style="98" customWidth="1"/>
    <col min="268" max="269" width="10.42578125" style="98" customWidth="1"/>
    <col min="270" max="270" width="7.140625" style="98" customWidth="1"/>
    <col min="271" max="271" width="12.28515625" style="98" customWidth="1"/>
    <col min="272" max="273" width="7.140625" style="98" customWidth="1"/>
    <col min="274" max="512" width="8.85546875" style="98"/>
    <col min="513" max="513" width="50.28515625" style="98" customWidth="1"/>
    <col min="514" max="514" width="12.5703125" style="98" customWidth="1"/>
    <col min="515" max="519" width="0" style="98" hidden="1" customWidth="1"/>
    <col min="520" max="521" width="9.7109375" style="98" customWidth="1"/>
    <col min="522" max="523" width="10.7109375" style="98" customWidth="1"/>
    <col min="524" max="525" width="10.42578125" style="98" customWidth="1"/>
    <col min="526" max="526" width="7.140625" style="98" customWidth="1"/>
    <col min="527" max="527" width="12.28515625" style="98" customWidth="1"/>
    <col min="528" max="529" width="7.140625" style="98" customWidth="1"/>
    <col min="530" max="768" width="8.85546875" style="98"/>
    <col min="769" max="769" width="50.28515625" style="98" customWidth="1"/>
    <col min="770" max="770" width="12.5703125" style="98" customWidth="1"/>
    <col min="771" max="775" width="0" style="98" hidden="1" customWidth="1"/>
    <col min="776" max="777" width="9.7109375" style="98" customWidth="1"/>
    <col min="778" max="779" width="10.7109375" style="98" customWidth="1"/>
    <col min="780" max="781" width="10.42578125" style="98" customWidth="1"/>
    <col min="782" max="782" width="7.140625" style="98" customWidth="1"/>
    <col min="783" max="783" width="12.28515625" style="98" customWidth="1"/>
    <col min="784" max="785" width="7.140625" style="98" customWidth="1"/>
    <col min="786" max="1024" width="8.85546875" style="98"/>
    <col min="1025" max="1025" width="50.28515625" style="98" customWidth="1"/>
    <col min="1026" max="1026" width="12.5703125" style="98" customWidth="1"/>
    <col min="1027" max="1031" width="0" style="98" hidden="1" customWidth="1"/>
    <col min="1032" max="1033" width="9.7109375" style="98" customWidth="1"/>
    <col min="1034" max="1035" width="10.7109375" style="98" customWidth="1"/>
    <col min="1036" max="1037" width="10.42578125" style="98" customWidth="1"/>
    <col min="1038" max="1038" width="7.140625" style="98" customWidth="1"/>
    <col min="1039" max="1039" width="12.28515625" style="98" customWidth="1"/>
    <col min="1040" max="1041" width="7.140625" style="98" customWidth="1"/>
    <col min="1042" max="1280" width="8.85546875" style="98"/>
    <col min="1281" max="1281" width="50.28515625" style="98" customWidth="1"/>
    <col min="1282" max="1282" width="12.5703125" style="98" customWidth="1"/>
    <col min="1283" max="1287" width="0" style="98" hidden="1" customWidth="1"/>
    <col min="1288" max="1289" width="9.7109375" style="98" customWidth="1"/>
    <col min="1290" max="1291" width="10.7109375" style="98" customWidth="1"/>
    <col min="1292" max="1293" width="10.42578125" style="98" customWidth="1"/>
    <col min="1294" max="1294" width="7.140625" style="98" customWidth="1"/>
    <col min="1295" max="1295" width="12.28515625" style="98" customWidth="1"/>
    <col min="1296" max="1297" width="7.140625" style="98" customWidth="1"/>
    <col min="1298" max="1536" width="8.85546875" style="98"/>
    <col min="1537" max="1537" width="50.28515625" style="98" customWidth="1"/>
    <col min="1538" max="1538" width="12.5703125" style="98" customWidth="1"/>
    <col min="1539" max="1543" width="0" style="98" hidden="1" customWidth="1"/>
    <col min="1544" max="1545" width="9.7109375" style="98" customWidth="1"/>
    <col min="1546" max="1547" width="10.7109375" style="98" customWidth="1"/>
    <col min="1548" max="1549" width="10.42578125" style="98" customWidth="1"/>
    <col min="1550" max="1550" width="7.140625" style="98" customWidth="1"/>
    <col min="1551" max="1551" width="12.28515625" style="98" customWidth="1"/>
    <col min="1552" max="1553" width="7.140625" style="98" customWidth="1"/>
    <col min="1554" max="1792" width="8.85546875" style="98"/>
    <col min="1793" max="1793" width="50.28515625" style="98" customWidth="1"/>
    <col min="1794" max="1794" width="12.5703125" style="98" customWidth="1"/>
    <col min="1795" max="1799" width="0" style="98" hidden="1" customWidth="1"/>
    <col min="1800" max="1801" width="9.7109375" style="98" customWidth="1"/>
    <col min="1802" max="1803" width="10.7109375" style="98" customWidth="1"/>
    <col min="1804" max="1805" width="10.42578125" style="98" customWidth="1"/>
    <col min="1806" max="1806" width="7.140625" style="98" customWidth="1"/>
    <col min="1807" max="1807" width="12.28515625" style="98" customWidth="1"/>
    <col min="1808" max="1809" width="7.140625" style="98" customWidth="1"/>
    <col min="1810" max="2048" width="8.85546875" style="98"/>
    <col min="2049" max="2049" width="50.28515625" style="98" customWidth="1"/>
    <col min="2050" max="2050" width="12.5703125" style="98" customWidth="1"/>
    <col min="2051" max="2055" width="0" style="98" hidden="1" customWidth="1"/>
    <col min="2056" max="2057" width="9.7109375" style="98" customWidth="1"/>
    <col min="2058" max="2059" width="10.7109375" style="98" customWidth="1"/>
    <col min="2060" max="2061" width="10.42578125" style="98" customWidth="1"/>
    <col min="2062" max="2062" width="7.140625" style="98" customWidth="1"/>
    <col min="2063" max="2063" width="12.28515625" style="98" customWidth="1"/>
    <col min="2064" max="2065" width="7.140625" style="98" customWidth="1"/>
    <col min="2066" max="2304" width="8.85546875" style="98"/>
    <col min="2305" max="2305" width="50.28515625" style="98" customWidth="1"/>
    <col min="2306" max="2306" width="12.5703125" style="98" customWidth="1"/>
    <col min="2307" max="2311" width="0" style="98" hidden="1" customWidth="1"/>
    <col min="2312" max="2313" width="9.7109375" style="98" customWidth="1"/>
    <col min="2314" max="2315" width="10.7109375" style="98" customWidth="1"/>
    <col min="2316" max="2317" width="10.42578125" style="98" customWidth="1"/>
    <col min="2318" max="2318" width="7.140625" style="98" customWidth="1"/>
    <col min="2319" max="2319" width="12.28515625" style="98" customWidth="1"/>
    <col min="2320" max="2321" width="7.140625" style="98" customWidth="1"/>
    <col min="2322" max="2560" width="8.85546875" style="98"/>
    <col min="2561" max="2561" width="50.28515625" style="98" customWidth="1"/>
    <col min="2562" max="2562" width="12.5703125" style="98" customWidth="1"/>
    <col min="2563" max="2567" width="0" style="98" hidden="1" customWidth="1"/>
    <col min="2568" max="2569" width="9.7109375" style="98" customWidth="1"/>
    <col min="2570" max="2571" width="10.7109375" style="98" customWidth="1"/>
    <col min="2572" max="2573" width="10.42578125" style="98" customWidth="1"/>
    <col min="2574" max="2574" width="7.140625" style="98" customWidth="1"/>
    <col min="2575" max="2575" width="12.28515625" style="98" customWidth="1"/>
    <col min="2576" max="2577" width="7.140625" style="98" customWidth="1"/>
    <col min="2578" max="2816" width="8.85546875" style="98"/>
    <col min="2817" max="2817" width="50.28515625" style="98" customWidth="1"/>
    <col min="2818" max="2818" width="12.5703125" style="98" customWidth="1"/>
    <col min="2819" max="2823" width="0" style="98" hidden="1" customWidth="1"/>
    <col min="2824" max="2825" width="9.7109375" style="98" customWidth="1"/>
    <col min="2826" max="2827" width="10.7109375" style="98" customWidth="1"/>
    <col min="2828" max="2829" width="10.42578125" style="98" customWidth="1"/>
    <col min="2830" max="2830" width="7.140625" style="98" customWidth="1"/>
    <col min="2831" max="2831" width="12.28515625" style="98" customWidth="1"/>
    <col min="2832" max="2833" width="7.140625" style="98" customWidth="1"/>
    <col min="2834" max="3072" width="8.85546875" style="98"/>
    <col min="3073" max="3073" width="50.28515625" style="98" customWidth="1"/>
    <col min="3074" max="3074" width="12.5703125" style="98" customWidth="1"/>
    <col min="3075" max="3079" width="0" style="98" hidden="1" customWidth="1"/>
    <col min="3080" max="3081" width="9.7109375" style="98" customWidth="1"/>
    <col min="3082" max="3083" width="10.7109375" style="98" customWidth="1"/>
    <col min="3084" max="3085" width="10.42578125" style="98" customWidth="1"/>
    <col min="3086" max="3086" width="7.140625" style="98" customWidth="1"/>
    <col min="3087" max="3087" width="12.28515625" style="98" customWidth="1"/>
    <col min="3088" max="3089" width="7.140625" style="98" customWidth="1"/>
    <col min="3090" max="3328" width="8.85546875" style="98"/>
    <col min="3329" max="3329" width="50.28515625" style="98" customWidth="1"/>
    <col min="3330" max="3330" width="12.5703125" style="98" customWidth="1"/>
    <col min="3331" max="3335" width="0" style="98" hidden="1" customWidth="1"/>
    <col min="3336" max="3337" width="9.7109375" style="98" customWidth="1"/>
    <col min="3338" max="3339" width="10.7109375" style="98" customWidth="1"/>
    <col min="3340" max="3341" width="10.42578125" style="98" customWidth="1"/>
    <col min="3342" max="3342" width="7.140625" style="98" customWidth="1"/>
    <col min="3343" max="3343" width="12.28515625" style="98" customWidth="1"/>
    <col min="3344" max="3345" width="7.140625" style="98" customWidth="1"/>
    <col min="3346" max="3584" width="8.85546875" style="98"/>
    <col min="3585" max="3585" width="50.28515625" style="98" customWidth="1"/>
    <col min="3586" max="3586" width="12.5703125" style="98" customWidth="1"/>
    <col min="3587" max="3591" width="0" style="98" hidden="1" customWidth="1"/>
    <col min="3592" max="3593" width="9.7109375" style="98" customWidth="1"/>
    <col min="3594" max="3595" width="10.7109375" style="98" customWidth="1"/>
    <col min="3596" max="3597" width="10.42578125" style="98" customWidth="1"/>
    <col min="3598" max="3598" width="7.140625" style="98" customWidth="1"/>
    <col min="3599" max="3599" width="12.28515625" style="98" customWidth="1"/>
    <col min="3600" max="3601" width="7.140625" style="98" customWidth="1"/>
    <col min="3602" max="3840" width="8.85546875" style="98"/>
    <col min="3841" max="3841" width="50.28515625" style="98" customWidth="1"/>
    <col min="3842" max="3842" width="12.5703125" style="98" customWidth="1"/>
    <col min="3843" max="3847" width="0" style="98" hidden="1" customWidth="1"/>
    <col min="3848" max="3849" width="9.7109375" style="98" customWidth="1"/>
    <col min="3850" max="3851" width="10.7109375" style="98" customWidth="1"/>
    <col min="3852" max="3853" width="10.42578125" style="98" customWidth="1"/>
    <col min="3854" max="3854" width="7.140625" style="98" customWidth="1"/>
    <col min="3855" max="3855" width="12.28515625" style="98" customWidth="1"/>
    <col min="3856" max="3857" width="7.140625" style="98" customWidth="1"/>
    <col min="3858" max="4096" width="8.85546875" style="98"/>
    <col min="4097" max="4097" width="50.28515625" style="98" customWidth="1"/>
    <col min="4098" max="4098" width="12.5703125" style="98" customWidth="1"/>
    <col min="4099" max="4103" width="0" style="98" hidden="1" customWidth="1"/>
    <col min="4104" max="4105" width="9.7109375" style="98" customWidth="1"/>
    <col min="4106" max="4107" width="10.7109375" style="98" customWidth="1"/>
    <col min="4108" max="4109" width="10.42578125" style="98" customWidth="1"/>
    <col min="4110" max="4110" width="7.140625" style="98" customWidth="1"/>
    <col min="4111" max="4111" width="12.28515625" style="98" customWidth="1"/>
    <col min="4112" max="4113" width="7.140625" style="98" customWidth="1"/>
    <col min="4114" max="4352" width="8.85546875" style="98"/>
    <col min="4353" max="4353" width="50.28515625" style="98" customWidth="1"/>
    <col min="4354" max="4354" width="12.5703125" style="98" customWidth="1"/>
    <col min="4355" max="4359" width="0" style="98" hidden="1" customWidth="1"/>
    <col min="4360" max="4361" width="9.7109375" style="98" customWidth="1"/>
    <col min="4362" max="4363" width="10.7109375" style="98" customWidth="1"/>
    <col min="4364" max="4365" width="10.42578125" style="98" customWidth="1"/>
    <col min="4366" max="4366" width="7.140625" style="98" customWidth="1"/>
    <col min="4367" max="4367" width="12.28515625" style="98" customWidth="1"/>
    <col min="4368" max="4369" width="7.140625" style="98" customWidth="1"/>
    <col min="4370" max="4608" width="8.85546875" style="98"/>
    <col min="4609" max="4609" width="50.28515625" style="98" customWidth="1"/>
    <col min="4610" max="4610" width="12.5703125" style="98" customWidth="1"/>
    <col min="4611" max="4615" width="0" style="98" hidden="1" customWidth="1"/>
    <col min="4616" max="4617" width="9.7109375" style="98" customWidth="1"/>
    <col min="4618" max="4619" width="10.7109375" style="98" customWidth="1"/>
    <col min="4620" max="4621" width="10.42578125" style="98" customWidth="1"/>
    <col min="4622" max="4622" width="7.140625" style="98" customWidth="1"/>
    <col min="4623" max="4623" width="12.28515625" style="98" customWidth="1"/>
    <col min="4624" max="4625" width="7.140625" style="98" customWidth="1"/>
    <col min="4626" max="4864" width="8.85546875" style="98"/>
    <col min="4865" max="4865" width="50.28515625" style="98" customWidth="1"/>
    <col min="4866" max="4866" width="12.5703125" style="98" customWidth="1"/>
    <col min="4867" max="4871" width="0" style="98" hidden="1" customWidth="1"/>
    <col min="4872" max="4873" width="9.7109375" style="98" customWidth="1"/>
    <col min="4874" max="4875" width="10.7109375" style="98" customWidth="1"/>
    <col min="4876" max="4877" width="10.42578125" style="98" customWidth="1"/>
    <col min="4878" max="4878" width="7.140625" style="98" customWidth="1"/>
    <col min="4879" max="4879" width="12.28515625" style="98" customWidth="1"/>
    <col min="4880" max="4881" width="7.140625" style="98" customWidth="1"/>
    <col min="4882" max="5120" width="8.85546875" style="98"/>
    <col min="5121" max="5121" width="50.28515625" style="98" customWidth="1"/>
    <col min="5122" max="5122" width="12.5703125" style="98" customWidth="1"/>
    <col min="5123" max="5127" width="0" style="98" hidden="1" customWidth="1"/>
    <col min="5128" max="5129" width="9.7109375" style="98" customWidth="1"/>
    <col min="5130" max="5131" width="10.7109375" style="98" customWidth="1"/>
    <col min="5132" max="5133" width="10.42578125" style="98" customWidth="1"/>
    <col min="5134" max="5134" width="7.140625" style="98" customWidth="1"/>
    <col min="5135" max="5135" width="12.28515625" style="98" customWidth="1"/>
    <col min="5136" max="5137" width="7.140625" style="98" customWidth="1"/>
    <col min="5138" max="5376" width="8.85546875" style="98"/>
    <col min="5377" max="5377" width="50.28515625" style="98" customWidth="1"/>
    <col min="5378" max="5378" width="12.5703125" style="98" customWidth="1"/>
    <col min="5379" max="5383" width="0" style="98" hidden="1" customWidth="1"/>
    <col min="5384" max="5385" width="9.7109375" style="98" customWidth="1"/>
    <col min="5386" max="5387" width="10.7109375" style="98" customWidth="1"/>
    <col min="5388" max="5389" width="10.42578125" style="98" customWidth="1"/>
    <col min="5390" max="5390" width="7.140625" style="98" customWidth="1"/>
    <col min="5391" max="5391" width="12.28515625" style="98" customWidth="1"/>
    <col min="5392" max="5393" width="7.140625" style="98" customWidth="1"/>
    <col min="5394" max="5632" width="8.85546875" style="98"/>
    <col min="5633" max="5633" width="50.28515625" style="98" customWidth="1"/>
    <col min="5634" max="5634" width="12.5703125" style="98" customWidth="1"/>
    <col min="5635" max="5639" width="0" style="98" hidden="1" customWidth="1"/>
    <col min="5640" max="5641" width="9.7109375" style="98" customWidth="1"/>
    <col min="5642" max="5643" width="10.7109375" style="98" customWidth="1"/>
    <col min="5644" max="5645" width="10.42578125" style="98" customWidth="1"/>
    <col min="5646" max="5646" width="7.140625" style="98" customWidth="1"/>
    <col min="5647" max="5647" width="12.28515625" style="98" customWidth="1"/>
    <col min="5648" max="5649" width="7.140625" style="98" customWidth="1"/>
    <col min="5650" max="5888" width="8.85546875" style="98"/>
    <col min="5889" max="5889" width="50.28515625" style="98" customWidth="1"/>
    <col min="5890" max="5890" width="12.5703125" style="98" customWidth="1"/>
    <col min="5891" max="5895" width="0" style="98" hidden="1" customWidth="1"/>
    <col min="5896" max="5897" width="9.7109375" style="98" customWidth="1"/>
    <col min="5898" max="5899" width="10.7109375" style="98" customWidth="1"/>
    <col min="5900" max="5901" width="10.42578125" style="98" customWidth="1"/>
    <col min="5902" max="5902" width="7.140625" style="98" customWidth="1"/>
    <col min="5903" max="5903" width="12.28515625" style="98" customWidth="1"/>
    <col min="5904" max="5905" width="7.140625" style="98" customWidth="1"/>
    <col min="5906" max="6144" width="8.85546875" style="98"/>
    <col min="6145" max="6145" width="50.28515625" style="98" customWidth="1"/>
    <col min="6146" max="6146" width="12.5703125" style="98" customWidth="1"/>
    <col min="6147" max="6151" width="0" style="98" hidden="1" customWidth="1"/>
    <col min="6152" max="6153" width="9.7109375" style="98" customWidth="1"/>
    <col min="6154" max="6155" width="10.7109375" style="98" customWidth="1"/>
    <col min="6156" max="6157" width="10.42578125" style="98" customWidth="1"/>
    <col min="6158" max="6158" width="7.140625" style="98" customWidth="1"/>
    <col min="6159" max="6159" width="12.28515625" style="98" customWidth="1"/>
    <col min="6160" max="6161" width="7.140625" style="98" customWidth="1"/>
    <col min="6162" max="6400" width="8.85546875" style="98"/>
    <col min="6401" max="6401" width="50.28515625" style="98" customWidth="1"/>
    <col min="6402" max="6402" width="12.5703125" style="98" customWidth="1"/>
    <col min="6403" max="6407" width="0" style="98" hidden="1" customWidth="1"/>
    <col min="6408" max="6409" width="9.7109375" style="98" customWidth="1"/>
    <col min="6410" max="6411" width="10.7109375" style="98" customWidth="1"/>
    <col min="6412" max="6413" width="10.42578125" style="98" customWidth="1"/>
    <col min="6414" max="6414" width="7.140625" style="98" customWidth="1"/>
    <col min="6415" max="6415" width="12.28515625" style="98" customWidth="1"/>
    <col min="6416" max="6417" width="7.140625" style="98" customWidth="1"/>
    <col min="6418" max="6656" width="8.85546875" style="98"/>
    <col min="6657" max="6657" width="50.28515625" style="98" customWidth="1"/>
    <col min="6658" max="6658" width="12.5703125" style="98" customWidth="1"/>
    <col min="6659" max="6663" width="0" style="98" hidden="1" customWidth="1"/>
    <col min="6664" max="6665" width="9.7109375" style="98" customWidth="1"/>
    <col min="6666" max="6667" width="10.7109375" style="98" customWidth="1"/>
    <col min="6668" max="6669" width="10.42578125" style="98" customWidth="1"/>
    <col min="6670" max="6670" width="7.140625" style="98" customWidth="1"/>
    <col min="6671" max="6671" width="12.28515625" style="98" customWidth="1"/>
    <col min="6672" max="6673" width="7.140625" style="98" customWidth="1"/>
    <col min="6674" max="6912" width="8.85546875" style="98"/>
    <col min="6913" max="6913" width="50.28515625" style="98" customWidth="1"/>
    <col min="6914" max="6914" width="12.5703125" style="98" customWidth="1"/>
    <col min="6915" max="6919" width="0" style="98" hidden="1" customWidth="1"/>
    <col min="6920" max="6921" width="9.7109375" style="98" customWidth="1"/>
    <col min="6922" max="6923" width="10.7109375" style="98" customWidth="1"/>
    <col min="6924" max="6925" width="10.42578125" style="98" customWidth="1"/>
    <col min="6926" max="6926" width="7.140625" style="98" customWidth="1"/>
    <col min="6927" max="6927" width="12.28515625" style="98" customWidth="1"/>
    <col min="6928" max="6929" width="7.140625" style="98" customWidth="1"/>
    <col min="6930" max="7168" width="8.85546875" style="98"/>
    <col min="7169" max="7169" width="50.28515625" style="98" customWidth="1"/>
    <col min="7170" max="7170" width="12.5703125" style="98" customWidth="1"/>
    <col min="7171" max="7175" width="0" style="98" hidden="1" customWidth="1"/>
    <col min="7176" max="7177" width="9.7109375" style="98" customWidth="1"/>
    <col min="7178" max="7179" width="10.7109375" style="98" customWidth="1"/>
    <col min="7180" max="7181" width="10.42578125" style="98" customWidth="1"/>
    <col min="7182" max="7182" width="7.140625" style="98" customWidth="1"/>
    <col min="7183" max="7183" width="12.28515625" style="98" customWidth="1"/>
    <col min="7184" max="7185" width="7.140625" style="98" customWidth="1"/>
    <col min="7186" max="7424" width="8.85546875" style="98"/>
    <col min="7425" max="7425" width="50.28515625" style="98" customWidth="1"/>
    <col min="7426" max="7426" width="12.5703125" style="98" customWidth="1"/>
    <col min="7427" max="7431" width="0" style="98" hidden="1" customWidth="1"/>
    <col min="7432" max="7433" width="9.7109375" style="98" customWidth="1"/>
    <col min="7434" max="7435" width="10.7109375" style="98" customWidth="1"/>
    <col min="7436" max="7437" width="10.42578125" style="98" customWidth="1"/>
    <col min="7438" max="7438" width="7.140625" style="98" customWidth="1"/>
    <col min="7439" max="7439" width="12.28515625" style="98" customWidth="1"/>
    <col min="7440" max="7441" width="7.140625" style="98" customWidth="1"/>
    <col min="7442" max="7680" width="8.85546875" style="98"/>
    <col min="7681" max="7681" width="50.28515625" style="98" customWidth="1"/>
    <col min="7682" max="7682" width="12.5703125" style="98" customWidth="1"/>
    <col min="7683" max="7687" width="0" style="98" hidden="1" customWidth="1"/>
    <col min="7688" max="7689" width="9.7109375" style="98" customWidth="1"/>
    <col min="7690" max="7691" width="10.7109375" style="98" customWidth="1"/>
    <col min="7692" max="7693" width="10.42578125" style="98" customWidth="1"/>
    <col min="7694" max="7694" width="7.140625" style="98" customWidth="1"/>
    <col min="7695" max="7695" width="12.28515625" style="98" customWidth="1"/>
    <col min="7696" max="7697" width="7.140625" style="98" customWidth="1"/>
    <col min="7698" max="7936" width="8.85546875" style="98"/>
    <col min="7937" max="7937" width="50.28515625" style="98" customWidth="1"/>
    <col min="7938" max="7938" width="12.5703125" style="98" customWidth="1"/>
    <col min="7939" max="7943" width="0" style="98" hidden="1" customWidth="1"/>
    <col min="7944" max="7945" width="9.7109375" style="98" customWidth="1"/>
    <col min="7946" max="7947" width="10.7109375" style="98" customWidth="1"/>
    <col min="7948" max="7949" width="10.42578125" style="98" customWidth="1"/>
    <col min="7950" max="7950" width="7.140625" style="98" customWidth="1"/>
    <col min="7951" max="7951" width="12.28515625" style="98" customWidth="1"/>
    <col min="7952" max="7953" width="7.140625" style="98" customWidth="1"/>
    <col min="7954" max="8192" width="8.85546875" style="98"/>
    <col min="8193" max="8193" width="50.28515625" style="98" customWidth="1"/>
    <col min="8194" max="8194" width="12.5703125" style="98" customWidth="1"/>
    <col min="8195" max="8199" width="0" style="98" hidden="1" customWidth="1"/>
    <col min="8200" max="8201" width="9.7109375" style="98" customWidth="1"/>
    <col min="8202" max="8203" width="10.7109375" style="98" customWidth="1"/>
    <col min="8204" max="8205" width="10.42578125" style="98" customWidth="1"/>
    <col min="8206" max="8206" width="7.140625" style="98" customWidth="1"/>
    <col min="8207" max="8207" width="12.28515625" style="98" customWidth="1"/>
    <col min="8208" max="8209" width="7.140625" style="98" customWidth="1"/>
    <col min="8210" max="8448" width="8.85546875" style="98"/>
    <col min="8449" max="8449" width="50.28515625" style="98" customWidth="1"/>
    <col min="8450" max="8450" width="12.5703125" style="98" customWidth="1"/>
    <col min="8451" max="8455" width="0" style="98" hidden="1" customWidth="1"/>
    <col min="8456" max="8457" width="9.7109375" style="98" customWidth="1"/>
    <col min="8458" max="8459" width="10.7109375" style="98" customWidth="1"/>
    <col min="8460" max="8461" width="10.42578125" style="98" customWidth="1"/>
    <col min="8462" max="8462" width="7.140625" style="98" customWidth="1"/>
    <col min="8463" max="8463" width="12.28515625" style="98" customWidth="1"/>
    <col min="8464" max="8465" width="7.140625" style="98" customWidth="1"/>
    <col min="8466" max="8704" width="8.85546875" style="98"/>
    <col min="8705" max="8705" width="50.28515625" style="98" customWidth="1"/>
    <col min="8706" max="8706" width="12.5703125" style="98" customWidth="1"/>
    <col min="8707" max="8711" width="0" style="98" hidden="1" customWidth="1"/>
    <col min="8712" max="8713" width="9.7109375" style="98" customWidth="1"/>
    <col min="8714" max="8715" width="10.7109375" style="98" customWidth="1"/>
    <col min="8716" max="8717" width="10.42578125" style="98" customWidth="1"/>
    <col min="8718" max="8718" width="7.140625" style="98" customWidth="1"/>
    <col min="8719" max="8719" width="12.28515625" style="98" customWidth="1"/>
    <col min="8720" max="8721" width="7.140625" style="98" customWidth="1"/>
    <col min="8722" max="8960" width="8.85546875" style="98"/>
    <col min="8961" max="8961" width="50.28515625" style="98" customWidth="1"/>
    <col min="8962" max="8962" width="12.5703125" style="98" customWidth="1"/>
    <col min="8963" max="8967" width="0" style="98" hidden="1" customWidth="1"/>
    <col min="8968" max="8969" width="9.7109375" style="98" customWidth="1"/>
    <col min="8970" max="8971" width="10.7109375" style="98" customWidth="1"/>
    <col min="8972" max="8973" width="10.42578125" style="98" customWidth="1"/>
    <col min="8974" max="8974" width="7.140625" style="98" customWidth="1"/>
    <col min="8975" max="8975" width="12.28515625" style="98" customWidth="1"/>
    <col min="8976" max="8977" width="7.140625" style="98" customWidth="1"/>
    <col min="8978" max="9216" width="8.85546875" style="98"/>
    <col min="9217" max="9217" width="50.28515625" style="98" customWidth="1"/>
    <col min="9218" max="9218" width="12.5703125" style="98" customWidth="1"/>
    <col min="9219" max="9223" width="0" style="98" hidden="1" customWidth="1"/>
    <col min="9224" max="9225" width="9.7109375" style="98" customWidth="1"/>
    <col min="9226" max="9227" width="10.7109375" style="98" customWidth="1"/>
    <col min="9228" max="9229" width="10.42578125" style="98" customWidth="1"/>
    <col min="9230" max="9230" width="7.140625" style="98" customWidth="1"/>
    <col min="9231" max="9231" width="12.28515625" style="98" customWidth="1"/>
    <col min="9232" max="9233" width="7.140625" style="98" customWidth="1"/>
    <col min="9234" max="9472" width="8.85546875" style="98"/>
    <col min="9473" max="9473" width="50.28515625" style="98" customWidth="1"/>
    <col min="9474" max="9474" width="12.5703125" style="98" customWidth="1"/>
    <col min="9475" max="9479" width="0" style="98" hidden="1" customWidth="1"/>
    <col min="9480" max="9481" width="9.7109375" style="98" customWidth="1"/>
    <col min="9482" max="9483" width="10.7109375" style="98" customWidth="1"/>
    <col min="9484" max="9485" width="10.42578125" style="98" customWidth="1"/>
    <col min="9486" max="9486" width="7.140625" style="98" customWidth="1"/>
    <col min="9487" max="9487" width="12.28515625" style="98" customWidth="1"/>
    <col min="9488" max="9489" width="7.140625" style="98" customWidth="1"/>
    <col min="9490" max="9728" width="8.85546875" style="98"/>
    <col min="9729" max="9729" width="50.28515625" style="98" customWidth="1"/>
    <col min="9730" max="9730" width="12.5703125" style="98" customWidth="1"/>
    <col min="9731" max="9735" width="0" style="98" hidden="1" customWidth="1"/>
    <col min="9736" max="9737" width="9.7109375" style="98" customWidth="1"/>
    <col min="9738" max="9739" width="10.7109375" style="98" customWidth="1"/>
    <col min="9740" max="9741" width="10.42578125" style="98" customWidth="1"/>
    <col min="9742" max="9742" width="7.140625" style="98" customWidth="1"/>
    <col min="9743" max="9743" width="12.28515625" style="98" customWidth="1"/>
    <col min="9744" max="9745" width="7.140625" style="98" customWidth="1"/>
    <col min="9746" max="9984" width="8.85546875" style="98"/>
    <col min="9985" max="9985" width="50.28515625" style="98" customWidth="1"/>
    <col min="9986" max="9986" width="12.5703125" style="98" customWidth="1"/>
    <col min="9987" max="9991" width="0" style="98" hidden="1" customWidth="1"/>
    <col min="9992" max="9993" width="9.7109375" style="98" customWidth="1"/>
    <col min="9994" max="9995" width="10.7109375" style="98" customWidth="1"/>
    <col min="9996" max="9997" width="10.42578125" style="98" customWidth="1"/>
    <col min="9998" max="9998" width="7.140625" style="98" customWidth="1"/>
    <col min="9999" max="9999" width="12.28515625" style="98" customWidth="1"/>
    <col min="10000" max="10001" width="7.140625" style="98" customWidth="1"/>
    <col min="10002" max="10240" width="8.85546875" style="98"/>
    <col min="10241" max="10241" width="50.28515625" style="98" customWidth="1"/>
    <col min="10242" max="10242" width="12.5703125" style="98" customWidth="1"/>
    <col min="10243" max="10247" width="0" style="98" hidden="1" customWidth="1"/>
    <col min="10248" max="10249" width="9.7109375" style="98" customWidth="1"/>
    <col min="10250" max="10251" width="10.7109375" style="98" customWidth="1"/>
    <col min="10252" max="10253" width="10.42578125" style="98" customWidth="1"/>
    <col min="10254" max="10254" width="7.140625" style="98" customWidth="1"/>
    <col min="10255" max="10255" width="12.28515625" style="98" customWidth="1"/>
    <col min="10256" max="10257" width="7.140625" style="98" customWidth="1"/>
    <col min="10258" max="10496" width="8.85546875" style="98"/>
    <col min="10497" max="10497" width="50.28515625" style="98" customWidth="1"/>
    <col min="10498" max="10498" width="12.5703125" style="98" customWidth="1"/>
    <col min="10499" max="10503" width="0" style="98" hidden="1" customWidth="1"/>
    <col min="10504" max="10505" width="9.7109375" style="98" customWidth="1"/>
    <col min="10506" max="10507" width="10.7109375" style="98" customWidth="1"/>
    <col min="10508" max="10509" width="10.42578125" style="98" customWidth="1"/>
    <col min="10510" max="10510" width="7.140625" style="98" customWidth="1"/>
    <col min="10511" max="10511" width="12.28515625" style="98" customWidth="1"/>
    <col min="10512" max="10513" width="7.140625" style="98" customWidth="1"/>
    <col min="10514" max="10752" width="8.85546875" style="98"/>
    <col min="10753" max="10753" width="50.28515625" style="98" customWidth="1"/>
    <col min="10754" max="10754" width="12.5703125" style="98" customWidth="1"/>
    <col min="10755" max="10759" width="0" style="98" hidden="1" customWidth="1"/>
    <col min="10760" max="10761" width="9.7109375" style="98" customWidth="1"/>
    <col min="10762" max="10763" width="10.7109375" style="98" customWidth="1"/>
    <col min="10764" max="10765" width="10.42578125" style="98" customWidth="1"/>
    <col min="10766" max="10766" width="7.140625" style="98" customWidth="1"/>
    <col min="10767" max="10767" width="12.28515625" style="98" customWidth="1"/>
    <col min="10768" max="10769" width="7.140625" style="98" customWidth="1"/>
    <col min="10770" max="11008" width="8.85546875" style="98"/>
    <col min="11009" max="11009" width="50.28515625" style="98" customWidth="1"/>
    <col min="11010" max="11010" width="12.5703125" style="98" customWidth="1"/>
    <col min="11011" max="11015" width="0" style="98" hidden="1" customWidth="1"/>
    <col min="11016" max="11017" width="9.7109375" style="98" customWidth="1"/>
    <col min="11018" max="11019" width="10.7109375" style="98" customWidth="1"/>
    <col min="11020" max="11021" width="10.42578125" style="98" customWidth="1"/>
    <col min="11022" max="11022" width="7.140625" style="98" customWidth="1"/>
    <col min="11023" max="11023" width="12.28515625" style="98" customWidth="1"/>
    <col min="11024" max="11025" width="7.140625" style="98" customWidth="1"/>
    <col min="11026" max="11264" width="8.85546875" style="98"/>
    <col min="11265" max="11265" width="50.28515625" style="98" customWidth="1"/>
    <col min="11266" max="11266" width="12.5703125" style="98" customWidth="1"/>
    <col min="11267" max="11271" width="0" style="98" hidden="1" customWidth="1"/>
    <col min="11272" max="11273" width="9.7109375" style="98" customWidth="1"/>
    <col min="11274" max="11275" width="10.7109375" style="98" customWidth="1"/>
    <col min="11276" max="11277" width="10.42578125" style="98" customWidth="1"/>
    <col min="11278" max="11278" width="7.140625" style="98" customWidth="1"/>
    <col min="11279" max="11279" width="12.28515625" style="98" customWidth="1"/>
    <col min="11280" max="11281" width="7.140625" style="98" customWidth="1"/>
    <col min="11282" max="11520" width="8.85546875" style="98"/>
    <col min="11521" max="11521" width="50.28515625" style="98" customWidth="1"/>
    <col min="11522" max="11522" width="12.5703125" style="98" customWidth="1"/>
    <col min="11523" max="11527" width="0" style="98" hidden="1" customWidth="1"/>
    <col min="11528" max="11529" width="9.7109375" style="98" customWidth="1"/>
    <col min="11530" max="11531" width="10.7109375" style="98" customWidth="1"/>
    <col min="11532" max="11533" width="10.42578125" style="98" customWidth="1"/>
    <col min="11534" max="11534" width="7.140625" style="98" customWidth="1"/>
    <col min="11535" max="11535" width="12.28515625" style="98" customWidth="1"/>
    <col min="11536" max="11537" width="7.140625" style="98" customWidth="1"/>
    <col min="11538" max="11776" width="8.85546875" style="98"/>
    <col min="11777" max="11777" width="50.28515625" style="98" customWidth="1"/>
    <col min="11778" max="11778" width="12.5703125" style="98" customWidth="1"/>
    <col min="11779" max="11783" width="0" style="98" hidden="1" customWidth="1"/>
    <col min="11784" max="11785" width="9.7109375" style="98" customWidth="1"/>
    <col min="11786" max="11787" width="10.7109375" style="98" customWidth="1"/>
    <col min="11788" max="11789" width="10.42578125" style="98" customWidth="1"/>
    <col min="11790" max="11790" width="7.140625" style="98" customWidth="1"/>
    <col min="11791" max="11791" width="12.28515625" style="98" customWidth="1"/>
    <col min="11792" max="11793" width="7.140625" style="98" customWidth="1"/>
    <col min="11794" max="12032" width="8.85546875" style="98"/>
    <col min="12033" max="12033" width="50.28515625" style="98" customWidth="1"/>
    <col min="12034" max="12034" width="12.5703125" style="98" customWidth="1"/>
    <col min="12035" max="12039" width="0" style="98" hidden="1" customWidth="1"/>
    <col min="12040" max="12041" width="9.7109375" style="98" customWidth="1"/>
    <col min="12042" max="12043" width="10.7109375" style="98" customWidth="1"/>
    <col min="12044" max="12045" width="10.42578125" style="98" customWidth="1"/>
    <col min="12046" max="12046" width="7.140625" style="98" customWidth="1"/>
    <col min="12047" max="12047" width="12.28515625" style="98" customWidth="1"/>
    <col min="12048" max="12049" width="7.140625" style="98" customWidth="1"/>
    <col min="12050" max="12288" width="8.85546875" style="98"/>
    <col min="12289" max="12289" width="50.28515625" style="98" customWidth="1"/>
    <col min="12290" max="12290" width="12.5703125" style="98" customWidth="1"/>
    <col min="12291" max="12295" width="0" style="98" hidden="1" customWidth="1"/>
    <col min="12296" max="12297" width="9.7109375" style="98" customWidth="1"/>
    <col min="12298" max="12299" width="10.7109375" style="98" customWidth="1"/>
    <col min="12300" max="12301" width="10.42578125" style="98" customWidth="1"/>
    <col min="12302" max="12302" width="7.140625" style="98" customWidth="1"/>
    <col min="12303" max="12303" width="12.28515625" style="98" customWidth="1"/>
    <col min="12304" max="12305" width="7.140625" style="98" customWidth="1"/>
    <col min="12306" max="12544" width="8.85546875" style="98"/>
    <col min="12545" max="12545" width="50.28515625" style="98" customWidth="1"/>
    <col min="12546" max="12546" width="12.5703125" style="98" customWidth="1"/>
    <col min="12547" max="12551" width="0" style="98" hidden="1" customWidth="1"/>
    <col min="12552" max="12553" width="9.7109375" style="98" customWidth="1"/>
    <col min="12554" max="12555" width="10.7109375" style="98" customWidth="1"/>
    <col min="12556" max="12557" width="10.42578125" style="98" customWidth="1"/>
    <col min="12558" max="12558" width="7.140625" style="98" customWidth="1"/>
    <col min="12559" max="12559" width="12.28515625" style="98" customWidth="1"/>
    <col min="12560" max="12561" width="7.140625" style="98" customWidth="1"/>
    <col min="12562" max="12800" width="8.85546875" style="98"/>
    <col min="12801" max="12801" width="50.28515625" style="98" customWidth="1"/>
    <col min="12802" max="12802" width="12.5703125" style="98" customWidth="1"/>
    <col min="12803" max="12807" width="0" style="98" hidden="1" customWidth="1"/>
    <col min="12808" max="12809" width="9.7109375" style="98" customWidth="1"/>
    <col min="12810" max="12811" width="10.7109375" style="98" customWidth="1"/>
    <col min="12812" max="12813" width="10.42578125" style="98" customWidth="1"/>
    <col min="12814" max="12814" width="7.140625" style="98" customWidth="1"/>
    <col min="12815" max="12815" width="12.28515625" style="98" customWidth="1"/>
    <col min="12816" max="12817" width="7.140625" style="98" customWidth="1"/>
    <col min="12818" max="13056" width="8.85546875" style="98"/>
    <col min="13057" max="13057" width="50.28515625" style="98" customWidth="1"/>
    <col min="13058" max="13058" width="12.5703125" style="98" customWidth="1"/>
    <col min="13059" max="13063" width="0" style="98" hidden="1" customWidth="1"/>
    <col min="13064" max="13065" width="9.7109375" style="98" customWidth="1"/>
    <col min="13066" max="13067" width="10.7109375" style="98" customWidth="1"/>
    <col min="13068" max="13069" width="10.42578125" style="98" customWidth="1"/>
    <col min="13070" max="13070" width="7.140625" style="98" customWidth="1"/>
    <col min="13071" max="13071" width="12.28515625" style="98" customWidth="1"/>
    <col min="13072" max="13073" width="7.140625" style="98" customWidth="1"/>
    <col min="13074" max="13312" width="8.85546875" style="98"/>
    <col min="13313" max="13313" width="50.28515625" style="98" customWidth="1"/>
    <col min="13314" max="13314" width="12.5703125" style="98" customWidth="1"/>
    <col min="13315" max="13319" width="0" style="98" hidden="1" customWidth="1"/>
    <col min="13320" max="13321" width="9.7109375" style="98" customWidth="1"/>
    <col min="13322" max="13323" width="10.7109375" style="98" customWidth="1"/>
    <col min="13324" max="13325" width="10.42578125" style="98" customWidth="1"/>
    <col min="13326" max="13326" width="7.140625" style="98" customWidth="1"/>
    <col min="13327" max="13327" width="12.28515625" style="98" customWidth="1"/>
    <col min="13328" max="13329" width="7.140625" style="98" customWidth="1"/>
    <col min="13330" max="13568" width="8.85546875" style="98"/>
    <col min="13569" max="13569" width="50.28515625" style="98" customWidth="1"/>
    <col min="13570" max="13570" width="12.5703125" style="98" customWidth="1"/>
    <col min="13571" max="13575" width="0" style="98" hidden="1" customWidth="1"/>
    <col min="13576" max="13577" width="9.7109375" style="98" customWidth="1"/>
    <col min="13578" max="13579" width="10.7109375" style="98" customWidth="1"/>
    <col min="13580" max="13581" width="10.42578125" style="98" customWidth="1"/>
    <col min="13582" max="13582" width="7.140625" style="98" customWidth="1"/>
    <col min="13583" max="13583" width="12.28515625" style="98" customWidth="1"/>
    <col min="13584" max="13585" width="7.140625" style="98" customWidth="1"/>
    <col min="13586" max="13824" width="8.85546875" style="98"/>
    <col min="13825" max="13825" width="50.28515625" style="98" customWidth="1"/>
    <col min="13826" max="13826" width="12.5703125" style="98" customWidth="1"/>
    <col min="13827" max="13831" width="0" style="98" hidden="1" customWidth="1"/>
    <col min="13832" max="13833" width="9.7109375" style="98" customWidth="1"/>
    <col min="13834" max="13835" width="10.7109375" style="98" customWidth="1"/>
    <col min="13836" max="13837" width="10.42578125" style="98" customWidth="1"/>
    <col min="13838" max="13838" width="7.140625" style="98" customWidth="1"/>
    <col min="13839" max="13839" width="12.28515625" style="98" customWidth="1"/>
    <col min="13840" max="13841" width="7.140625" style="98" customWidth="1"/>
    <col min="13842" max="14080" width="8.85546875" style="98"/>
    <col min="14081" max="14081" width="50.28515625" style="98" customWidth="1"/>
    <col min="14082" max="14082" width="12.5703125" style="98" customWidth="1"/>
    <col min="14083" max="14087" width="0" style="98" hidden="1" customWidth="1"/>
    <col min="14088" max="14089" width="9.7109375" style="98" customWidth="1"/>
    <col min="14090" max="14091" width="10.7109375" style="98" customWidth="1"/>
    <col min="14092" max="14093" width="10.42578125" style="98" customWidth="1"/>
    <col min="14094" max="14094" width="7.140625" style="98" customWidth="1"/>
    <col min="14095" max="14095" width="12.28515625" style="98" customWidth="1"/>
    <col min="14096" max="14097" width="7.140625" style="98" customWidth="1"/>
    <col min="14098" max="14336" width="8.85546875" style="98"/>
    <col min="14337" max="14337" width="50.28515625" style="98" customWidth="1"/>
    <col min="14338" max="14338" width="12.5703125" style="98" customWidth="1"/>
    <col min="14339" max="14343" width="0" style="98" hidden="1" customWidth="1"/>
    <col min="14344" max="14345" width="9.7109375" style="98" customWidth="1"/>
    <col min="14346" max="14347" width="10.7109375" style="98" customWidth="1"/>
    <col min="14348" max="14349" width="10.42578125" style="98" customWidth="1"/>
    <col min="14350" max="14350" width="7.140625" style="98" customWidth="1"/>
    <col min="14351" max="14351" width="12.28515625" style="98" customWidth="1"/>
    <col min="14352" max="14353" width="7.140625" style="98" customWidth="1"/>
    <col min="14354" max="14592" width="8.85546875" style="98"/>
    <col min="14593" max="14593" width="50.28515625" style="98" customWidth="1"/>
    <col min="14594" max="14594" width="12.5703125" style="98" customWidth="1"/>
    <col min="14595" max="14599" width="0" style="98" hidden="1" customWidth="1"/>
    <col min="14600" max="14601" width="9.7109375" style="98" customWidth="1"/>
    <col min="14602" max="14603" width="10.7109375" style="98" customWidth="1"/>
    <col min="14604" max="14605" width="10.42578125" style="98" customWidth="1"/>
    <col min="14606" max="14606" width="7.140625" style="98" customWidth="1"/>
    <col min="14607" max="14607" width="12.28515625" style="98" customWidth="1"/>
    <col min="14608" max="14609" width="7.140625" style="98" customWidth="1"/>
    <col min="14610" max="14848" width="8.85546875" style="98"/>
    <col min="14849" max="14849" width="50.28515625" style="98" customWidth="1"/>
    <col min="14850" max="14850" width="12.5703125" style="98" customWidth="1"/>
    <col min="14851" max="14855" width="0" style="98" hidden="1" customWidth="1"/>
    <col min="14856" max="14857" width="9.7109375" style="98" customWidth="1"/>
    <col min="14858" max="14859" width="10.7109375" style="98" customWidth="1"/>
    <col min="14860" max="14861" width="10.42578125" style="98" customWidth="1"/>
    <col min="14862" max="14862" width="7.140625" style="98" customWidth="1"/>
    <col min="14863" max="14863" width="12.28515625" style="98" customWidth="1"/>
    <col min="14864" max="14865" width="7.140625" style="98" customWidth="1"/>
    <col min="14866" max="15104" width="8.85546875" style="98"/>
    <col min="15105" max="15105" width="50.28515625" style="98" customWidth="1"/>
    <col min="15106" max="15106" width="12.5703125" style="98" customWidth="1"/>
    <col min="15107" max="15111" width="0" style="98" hidden="1" customWidth="1"/>
    <col min="15112" max="15113" width="9.7109375" style="98" customWidth="1"/>
    <col min="15114" max="15115" width="10.7109375" style="98" customWidth="1"/>
    <col min="15116" max="15117" width="10.42578125" style="98" customWidth="1"/>
    <col min="15118" max="15118" width="7.140625" style="98" customWidth="1"/>
    <col min="15119" max="15119" width="12.28515625" style="98" customWidth="1"/>
    <col min="15120" max="15121" width="7.140625" style="98" customWidth="1"/>
    <col min="15122" max="15360" width="8.85546875" style="98"/>
    <col min="15361" max="15361" width="50.28515625" style="98" customWidth="1"/>
    <col min="15362" max="15362" width="12.5703125" style="98" customWidth="1"/>
    <col min="15363" max="15367" width="0" style="98" hidden="1" customWidth="1"/>
    <col min="15368" max="15369" width="9.7109375" style="98" customWidth="1"/>
    <col min="15370" max="15371" width="10.7109375" style="98" customWidth="1"/>
    <col min="15372" max="15373" width="10.42578125" style="98" customWidth="1"/>
    <col min="15374" max="15374" width="7.140625" style="98" customWidth="1"/>
    <col min="15375" max="15375" width="12.28515625" style="98" customWidth="1"/>
    <col min="15376" max="15377" width="7.140625" style="98" customWidth="1"/>
    <col min="15378" max="15616" width="8.85546875" style="98"/>
    <col min="15617" max="15617" width="50.28515625" style="98" customWidth="1"/>
    <col min="15618" max="15618" width="12.5703125" style="98" customWidth="1"/>
    <col min="15619" max="15623" width="0" style="98" hidden="1" customWidth="1"/>
    <col min="15624" max="15625" width="9.7109375" style="98" customWidth="1"/>
    <col min="15626" max="15627" width="10.7109375" style="98" customWidth="1"/>
    <col min="15628" max="15629" width="10.42578125" style="98" customWidth="1"/>
    <col min="15630" max="15630" width="7.140625" style="98" customWidth="1"/>
    <col min="15631" max="15631" width="12.28515625" style="98" customWidth="1"/>
    <col min="15632" max="15633" width="7.140625" style="98" customWidth="1"/>
    <col min="15634" max="15872" width="8.85546875" style="98"/>
    <col min="15873" max="15873" width="50.28515625" style="98" customWidth="1"/>
    <col min="15874" max="15874" width="12.5703125" style="98" customWidth="1"/>
    <col min="15875" max="15879" width="0" style="98" hidden="1" customWidth="1"/>
    <col min="15880" max="15881" width="9.7109375" style="98" customWidth="1"/>
    <col min="15882" max="15883" width="10.7109375" style="98" customWidth="1"/>
    <col min="15884" max="15885" width="10.42578125" style="98" customWidth="1"/>
    <col min="15886" max="15886" width="7.140625" style="98" customWidth="1"/>
    <col min="15887" max="15887" width="12.28515625" style="98" customWidth="1"/>
    <col min="15888" max="15889" width="7.140625" style="98" customWidth="1"/>
    <col min="15890" max="16128" width="8.85546875" style="98"/>
    <col min="16129" max="16129" width="50.28515625" style="98" customWidth="1"/>
    <col min="16130" max="16130" width="12.5703125" style="98" customWidth="1"/>
    <col min="16131" max="16135" width="0" style="98" hidden="1" customWidth="1"/>
    <col min="16136" max="16137" width="9.7109375" style="98" customWidth="1"/>
    <col min="16138" max="16139" width="10.7109375" style="98" customWidth="1"/>
    <col min="16140" max="16141" width="10.42578125" style="98" customWidth="1"/>
    <col min="16142" max="16142" width="7.140625" style="98" customWidth="1"/>
    <col min="16143" max="16143" width="12.28515625" style="98" customWidth="1"/>
    <col min="16144" max="16145" width="7.140625" style="98" customWidth="1"/>
    <col min="16146" max="16384" width="8.85546875" style="98"/>
  </cols>
  <sheetData>
    <row r="1" spans="1:13" ht="35.25" customHeight="1">
      <c r="A1" s="380" t="s">
        <v>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31.5">
      <c r="A2" s="381" t="s">
        <v>2</v>
      </c>
      <c r="B2" s="377" t="s">
        <v>3</v>
      </c>
      <c r="C2" s="99" t="s">
        <v>4</v>
      </c>
      <c r="D2" s="100" t="s">
        <v>5</v>
      </c>
      <c r="E2" s="101" t="s">
        <v>6</v>
      </c>
      <c r="F2" s="100" t="s">
        <v>7</v>
      </c>
      <c r="G2" s="102" t="s">
        <v>8</v>
      </c>
      <c r="H2" s="102" t="s">
        <v>8</v>
      </c>
      <c r="I2" s="102"/>
      <c r="J2" s="103" t="s">
        <v>9</v>
      </c>
      <c r="K2" s="385" t="s">
        <v>10</v>
      </c>
      <c r="L2" s="386"/>
      <c r="M2" s="387"/>
    </row>
    <row r="3" spans="1:13">
      <c r="A3" s="382"/>
      <c r="B3" s="384"/>
      <c r="C3" s="104"/>
      <c r="D3" s="105"/>
      <c r="E3" s="106"/>
      <c r="F3" s="104"/>
      <c r="G3" s="381">
        <v>2011</v>
      </c>
      <c r="H3" s="388">
        <v>2013</v>
      </c>
      <c r="I3" s="381">
        <v>2014</v>
      </c>
      <c r="J3" s="388">
        <v>2015</v>
      </c>
      <c r="K3" s="377">
        <v>2016</v>
      </c>
      <c r="L3" s="377">
        <v>2017</v>
      </c>
      <c r="M3" s="377">
        <v>2018</v>
      </c>
    </row>
    <row r="4" spans="1:13">
      <c r="A4" s="383"/>
      <c r="B4" s="378"/>
      <c r="C4" s="104"/>
      <c r="D4" s="105"/>
      <c r="E4" s="106"/>
      <c r="F4" s="104"/>
      <c r="G4" s="383"/>
      <c r="H4" s="388"/>
      <c r="I4" s="383"/>
      <c r="J4" s="388"/>
      <c r="K4" s="378"/>
      <c r="L4" s="378"/>
      <c r="M4" s="378"/>
    </row>
    <row r="5" spans="1:13" ht="15">
      <c r="A5" s="107" t="s">
        <v>11</v>
      </c>
      <c r="B5" s="108"/>
      <c r="C5" s="109"/>
      <c r="D5" s="110"/>
      <c r="E5" s="110"/>
      <c r="F5" s="110"/>
      <c r="G5" s="111"/>
      <c r="H5" s="112"/>
      <c r="I5" s="112"/>
      <c r="J5" s="111"/>
      <c r="K5" s="112"/>
      <c r="L5" s="112"/>
      <c r="M5" s="111"/>
    </row>
    <row r="6" spans="1:13" ht="21.6" customHeight="1">
      <c r="A6" s="113" t="s">
        <v>12</v>
      </c>
      <c r="B6" s="114" t="s">
        <v>13</v>
      </c>
      <c r="C6" s="115">
        <v>1</v>
      </c>
      <c r="D6" s="116"/>
      <c r="E6" s="116"/>
      <c r="F6" s="116"/>
      <c r="G6" s="117">
        <v>63.08</v>
      </c>
      <c r="H6" s="118">
        <v>65.83</v>
      </c>
      <c r="I6" s="118">
        <v>67.22</v>
      </c>
      <c r="J6" s="118">
        <v>68.42</v>
      </c>
      <c r="K6" s="119">
        <f>J6+1.3</f>
        <v>69.72</v>
      </c>
      <c r="L6" s="119">
        <f>K6+1.4</f>
        <v>71.12</v>
      </c>
      <c r="M6" s="119">
        <f>L6+1.4</f>
        <v>72.52000000000001</v>
      </c>
    </row>
    <row r="7" spans="1:13" ht="15" customHeight="1">
      <c r="A7" s="113" t="s">
        <v>14</v>
      </c>
      <c r="B7" s="120" t="s">
        <v>15</v>
      </c>
      <c r="C7" s="115"/>
      <c r="D7" s="116"/>
      <c r="E7" s="116"/>
      <c r="F7" s="116"/>
      <c r="G7" s="117"/>
      <c r="H7" s="121">
        <f t="shared" ref="H7:M7" si="0">H6/G6*100</f>
        <v>104.35954343690553</v>
      </c>
      <c r="I7" s="121">
        <f t="shared" si="0"/>
        <v>102.11149931642109</v>
      </c>
      <c r="J7" s="121">
        <f t="shared" si="0"/>
        <v>101.78518298125559</v>
      </c>
      <c r="K7" s="121">
        <f>K6/J6*100</f>
        <v>101.90002923121895</v>
      </c>
      <c r="L7" s="121">
        <f t="shared" si="0"/>
        <v>102.00803212851406</v>
      </c>
      <c r="M7" s="121">
        <f t="shared" si="0"/>
        <v>101.9685039370079</v>
      </c>
    </row>
    <row r="8" spans="1:13" ht="15" customHeight="1">
      <c r="A8" s="113" t="s">
        <v>16</v>
      </c>
      <c r="B8" s="120" t="s">
        <v>15</v>
      </c>
      <c r="C8" s="115"/>
      <c r="D8" s="116"/>
      <c r="E8" s="116"/>
      <c r="F8" s="116"/>
      <c r="G8" s="117"/>
      <c r="H8" s="119"/>
      <c r="I8" s="119"/>
      <c r="J8" s="119"/>
      <c r="K8" s="119"/>
      <c r="L8" s="119"/>
      <c r="M8" s="119"/>
    </row>
    <row r="9" spans="1:13" ht="15">
      <c r="A9" s="122" t="s">
        <v>17</v>
      </c>
      <c r="B9" s="120"/>
      <c r="C9" s="115"/>
      <c r="D9" s="116"/>
      <c r="E9" s="116"/>
      <c r="F9" s="116"/>
      <c r="G9" s="123"/>
      <c r="H9" s="119"/>
      <c r="I9" s="119"/>
      <c r="J9" s="119"/>
      <c r="K9" s="119"/>
      <c r="L9" s="119"/>
      <c r="M9" s="119"/>
    </row>
    <row r="10" spans="1:13" ht="23.25" customHeight="1">
      <c r="A10" s="124" t="s">
        <v>18</v>
      </c>
      <c r="B10" s="125"/>
      <c r="C10" s="115"/>
      <c r="D10" s="116"/>
      <c r="E10" s="116"/>
      <c r="F10" s="116"/>
      <c r="G10" s="125"/>
      <c r="H10" s="126" t="s">
        <v>19</v>
      </c>
      <c r="I10" s="127"/>
      <c r="J10" s="127"/>
      <c r="K10" s="127"/>
      <c r="L10" s="127"/>
      <c r="M10" s="128"/>
    </row>
    <row r="11" spans="1:13" ht="24">
      <c r="A11" s="129" t="s">
        <v>20</v>
      </c>
      <c r="B11" s="114" t="s">
        <v>21</v>
      </c>
      <c r="C11" s="115"/>
      <c r="D11" s="116"/>
      <c r="E11" s="116"/>
      <c r="F11" s="116"/>
      <c r="G11" s="117"/>
      <c r="H11" s="119"/>
      <c r="I11" s="119"/>
      <c r="J11" s="119"/>
      <c r="K11" s="119"/>
      <c r="L11" s="119"/>
      <c r="M11" s="119"/>
    </row>
    <row r="12" spans="1:13" ht="12.75">
      <c r="A12" s="113" t="s">
        <v>14</v>
      </c>
      <c r="B12" s="120" t="s">
        <v>15</v>
      </c>
      <c r="C12" s="115"/>
      <c r="D12" s="116"/>
      <c r="E12" s="116"/>
      <c r="F12" s="116"/>
      <c r="G12" s="117"/>
      <c r="H12" s="119"/>
      <c r="I12" s="119"/>
      <c r="J12" s="119"/>
      <c r="K12" s="119"/>
      <c r="L12" s="119"/>
      <c r="M12" s="119"/>
    </row>
    <row r="13" spans="1:13" ht="12.75">
      <c r="A13" s="113" t="s">
        <v>16</v>
      </c>
      <c r="B13" s="120" t="s">
        <v>15</v>
      </c>
      <c r="C13" s="115"/>
      <c r="D13" s="116"/>
      <c r="E13" s="116"/>
      <c r="F13" s="116"/>
      <c r="G13" s="117"/>
      <c r="H13" s="119"/>
      <c r="I13" s="119"/>
      <c r="J13" s="119"/>
      <c r="K13" s="119"/>
      <c r="L13" s="119"/>
      <c r="M13" s="119"/>
    </row>
    <row r="14" spans="1:13" ht="14.25">
      <c r="A14" s="130" t="s">
        <v>22</v>
      </c>
      <c r="B14" s="120"/>
      <c r="C14" s="115"/>
      <c r="D14" s="116"/>
      <c r="E14" s="116"/>
      <c r="F14" s="116"/>
      <c r="G14" s="117"/>
      <c r="H14" s="119"/>
      <c r="I14" s="119"/>
      <c r="J14" s="119"/>
      <c r="K14" s="119"/>
      <c r="L14" s="119"/>
      <c r="M14" s="119"/>
    </row>
    <row r="15" spans="1:13" ht="29.25" customHeight="1">
      <c r="A15" s="113" t="s">
        <v>23</v>
      </c>
      <c r="B15" s="120" t="s">
        <v>24</v>
      </c>
      <c r="C15" s="115">
        <v>1</v>
      </c>
      <c r="D15" s="116"/>
      <c r="E15" s="116"/>
      <c r="F15" s="116"/>
      <c r="G15" s="117"/>
      <c r="H15" s="119"/>
      <c r="I15" s="119"/>
      <c r="J15" s="119"/>
      <c r="K15" s="119"/>
      <c r="L15" s="119"/>
      <c r="M15" s="119"/>
    </row>
    <row r="16" spans="1:13" ht="14.25">
      <c r="A16" s="130" t="s">
        <v>25</v>
      </c>
      <c r="B16" s="120"/>
      <c r="C16" s="115"/>
      <c r="D16" s="131"/>
      <c r="E16" s="131"/>
      <c r="F16" s="131"/>
      <c r="G16" s="132"/>
      <c r="H16" s="119"/>
      <c r="I16" s="119"/>
      <c r="J16" s="119"/>
      <c r="K16" s="119"/>
      <c r="L16" s="119"/>
      <c r="M16" s="119"/>
    </row>
    <row r="17" spans="1:16" ht="14.25">
      <c r="A17" s="133" t="s">
        <v>26</v>
      </c>
      <c r="B17" s="134"/>
      <c r="C17" s="115"/>
      <c r="D17" s="131"/>
      <c r="E17" s="131"/>
      <c r="F17" s="131"/>
      <c r="G17" s="135"/>
      <c r="H17" s="119"/>
      <c r="I17" s="119"/>
      <c r="J17" s="119"/>
      <c r="K17" s="119"/>
      <c r="L17" s="119"/>
      <c r="M17" s="119"/>
    </row>
    <row r="18" spans="1:16" ht="21">
      <c r="A18" s="136" t="s">
        <v>27</v>
      </c>
      <c r="B18" s="114" t="s">
        <v>21</v>
      </c>
      <c r="C18" s="115">
        <v>1</v>
      </c>
      <c r="D18" s="131"/>
      <c r="E18" s="131"/>
      <c r="F18" s="131"/>
      <c r="G18" s="117">
        <v>784.19</v>
      </c>
      <c r="H18" s="118">
        <v>998.81</v>
      </c>
      <c r="I18" s="118">
        <v>1215.0999999999999</v>
      </c>
      <c r="J18" s="118">
        <v>1419.8</v>
      </c>
      <c r="K18" s="119">
        <v>1592</v>
      </c>
      <c r="L18" s="119">
        <v>1725.3</v>
      </c>
      <c r="M18" s="119">
        <v>1725.3</v>
      </c>
      <c r="N18" s="137"/>
      <c r="O18" s="137"/>
      <c r="P18" s="137"/>
    </row>
    <row r="19" spans="1:16" ht="12.75">
      <c r="A19" s="113" t="s">
        <v>14</v>
      </c>
      <c r="B19" s="120" t="s">
        <v>15</v>
      </c>
      <c r="C19" s="115"/>
      <c r="D19" s="131"/>
      <c r="E19" s="131"/>
      <c r="F19" s="131"/>
      <c r="G19" s="117"/>
      <c r="H19" s="138">
        <f t="shared" ref="H19:J19" si="1">H18/G18*100/H20*100</f>
        <v>163.29277866660385</v>
      </c>
      <c r="I19" s="138">
        <f t="shared" si="1"/>
        <v>124.77412223109603</v>
      </c>
      <c r="J19" s="138">
        <f t="shared" si="1"/>
        <v>109.92130770897688</v>
      </c>
      <c r="K19" s="139">
        <f>K18/J18/K20*10000</f>
        <v>107.4027478912091</v>
      </c>
      <c r="L19" s="139">
        <f t="shared" ref="L19:M19" si="2">L18/K18/L20*10000</f>
        <v>102.82079276839605</v>
      </c>
      <c r="M19" s="139">
        <f t="shared" si="2"/>
        <v>94.876660341555976</v>
      </c>
    </row>
    <row r="20" spans="1:16" ht="12.75">
      <c r="A20" s="113" t="s">
        <v>16</v>
      </c>
      <c r="B20" s="120" t="s">
        <v>15</v>
      </c>
      <c r="C20" s="115"/>
      <c r="D20" s="131"/>
      <c r="E20" s="131"/>
      <c r="F20" s="131"/>
      <c r="G20" s="117"/>
      <c r="H20" s="140">
        <v>78</v>
      </c>
      <c r="I20" s="140">
        <v>97.5</v>
      </c>
      <c r="J20" s="140">
        <v>106.3</v>
      </c>
      <c r="K20" s="140">
        <v>104.4</v>
      </c>
      <c r="L20" s="140">
        <v>105.4</v>
      </c>
      <c r="M20" s="140">
        <v>105.4</v>
      </c>
      <c r="P20" s="137"/>
    </row>
    <row r="21" spans="1:16" ht="14.25">
      <c r="A21" s="130" t="s">
        <v>28</v>
      </c>
      <c r="B21" s="134"/>
      <c r="C21" s="115"/>
      <c r="D21" s="131"/>
      <c r="E21" s="131"/>
      <c r="F21" s="131"/>
      <c r="G21" s="117"/>
      <c r="H21" s="119"/>
      <c r="I21" s="119"/>
      <c r="J21" s="119"/>
      <c r="K21" s="119"/>
      <c r="L21" s="119"/>
      <c r="M21" s="119"/>
    </row>
    <row r="22" spans="1:16" ht="21">
      <c r="A22" s="113" t="s">
        <v>29</v>
      </c>
      <c r="B22" s="120" t="s">
        <v>30</v>
      </c>
      <c r="C22" s="115">
        <v>1</v>
      </c>
      <c r="D22" s="131"/>
      <c r="E22" s="131"/>
      <c r="F22" s="131"/>
      <c r="G22" s="117">
        <f>G26+G27</f>
        <v>1096.33</v>
      </c>
      <c r="H22" s="118">
        <f>H26+H27</f>
        <v>2241.13</v>
      </c>
      <c r="I22" s="118">
        <f>I26+I27</f>
        <v>3044.4970000000003</v>
      </c>
      <c r="J22" s="118">
        <f>J26+J27</f>
        <v>3454.9</v>
      </c>
      <c r="K22" s="119">
        <v>3885.7</v>
      </c>
      <c r="L22" s="119">
        <f>L26+L27</f>
        <v>4107</v>
      </c>
      <c r="M22" s="119">
        <f>M26+M27</f>
        <v>4107</v>
      </c>
    </row>
    <row r="23" spans="1:16" ht="12.75">
      <c r="A23" s="113" t="s">
        <v>14</v>
      </c>
      <c r="B23" s="120" t="s">
        <v>15</v>
      </c>
      <c r="C23" s="115"/>
      <c r="D23" s="131"/>
      <c r="E23" s="131"/>
      <c r="F23" s="131"/>
      <c r="G23" s="117"/>
      <c r="H23" s="121">
        <f t="shared" ref="H23:M23" si="3">H22/G22*100/H24*100</f>
        <v>190.15917588894365</v>
      </c>
      <c r="I23" s="121">
        <f t="shared" si="3"/>
        <v>123.49683175248852</v>
      </c>
      <c r="J23" s="121">
        <f t="shared" si="3"/>
        <v>107.05675264720279</v>
      </c>
      <c r="K23" s="121">
        <f t="shared" si="3"/>
        <v>106.40420679027905</v>
      </c>
      <c r="L23" s="121">
        <f t="shared" si="3"/>
        <v>100.37534807846464</v>
      </c>
      <c r="M23" s="121">
        <f t="shared" si="3"/>
        <v>94.966761633428291</v>
      </c>
    </row>
    <row r="24" spans="1:16" ht="16.5" customHeight="1">
      <c r="A24" s="113" t="s">
        <v>16</v>
      </c>
      <c r="B24" s="120" t="s">
        <v>15</v>
      </c>
      <c r="C24" s="115"/>
      <c r="D24" s="131"/>
      <c r="E24" s="131"/>
      <c r="F24" s="131"/>
      <c r="G24" s="117"/>
      <c r="H24" s="121">
        <v>107.5</v>
      </c>
      <c r="I24" s="121">
        <v>110</v>
      </c>
      <c r="J24" s="121">
        <v>106</v>
      </c>
      <c r="K24" s="121">
        <v>105.7</v>
      </c>
      <c r="L24" s="121">
        <v>105.3</v>
      </c>
      <c r="M24" s="121">
        <v>105.3</v>
      </c>
    </row>
    <row r="25" spans="1:16" ht="12.75">
      <c r="A25" s="136" t="s">
        <v>31</v>
      </c>
      <c r="B25" s="120"/>
      <c r="C25" s="115"/>
      <c r="D25" s="131"/>
      <c r="E25" s="131"/>
      <c r="F25" s="131"/>
      <c r="G25" s="117"/>
      <c r="H25" s="141"/>
      <c r="I25" s="141"/>
      <c r="J25" s="141"/>
      <c r="K25" s="141"/>
      <c r="L25" s="141"/>
      <c r="M25" s="141"/>
      <c r="O25" s="142"/>
    </row>
    <row r="26" spans="1:16" ht="12.75">
      <c r="A26" s="143" t="s">
        <v>32</v>
      </c>
      <c r="B26" s="120" t="s">
        <v>30</v>
      </c>
      <c r="C26" s="115">
        <v>1</v>
      </c>
      <c r="D26" s="131"/>
      <c r="E26" s="131"/>
      <c r="F26" s="131"/>
      <c r="G26" s="117">
        <v>553.27</v>
      </c>
      <c r="H26" s="144">
        <v>1347.52</v>
      </c>
      <c r="I26" s="144">
        <v>1943.3820000000001</v>
      </c>
      <c r="J26" s="144">
        <v>2225.3000000000002</v>
      </c>
      <c r="K26" s="145">
        <v>2502</v>
      </c>
      <c r="L26" s="145">
        <v>2558</v>
      </c>
      <c r="M26" s="145">
        <v>2558</v>
      </c>
      <c r="O26" s="142"/>
    </row>
    <row r="27" spans="1:16" ht="12.75">
      <c r="A27" s="143" t="s">
        <v>33</v>
      </c>
      <c r="B27" s="120" t="s">
        <v>30</v>
      </c>
      <c r="C27" s="115">
        <v>1</v>
      </c>
      <c r="D27" s="131"/>
      <c r="E27" s="131"/>
      <c r="F27" s="131"/>
      <c r="G27" s="117">
        <v>543.05999999999995</v>
      </c>
      <c r="H27" s="118">
        <v>893.61</v>
      </c>
      <c r="I27" s="118">
        <v>1101.115</v>
      </c>
      <c r="J27" s="118">
        <v>1229.5999999999999</v>
      </c>
      <c r="K27" s="119">
        <v>1383</v>
      </c>
      <c r="L27" s="119">
        <v>1549</v>
      </c>
      <c r="M27" s="119">
        <v>1549</v>
      </c>
    </row>
    <row r="28" spans="1:16" ht="14.25">
      <c r="A28" s="130" t="s">
        <v>34</v>
      </c>
      <c r="B28" s="134"/>
      <c r="C28" s="115"/>
      <c r="D28" s="131"/>
      <c r="E28" s="131"/>
      <c r="F28" s="131"/>
      <c r="G28" s="117"/>
      <c r="H28" s="119"/>
      <c r="I28" s="119"/>
      <c r="J28" s="119"/>
      <c r="K28" s="119"/>
      <c r="L28" s="119"/>
      <c r="M28" s="119"/>
    </row>
    <row r="29" spans="1:16" ht="14.25">
      <c r="A29" s="130" t="s">
        <v>35</v>
      </c>
      <c r="B29" s="134"/>
      <c r="C29" s="115"/>
      <c r="D29" s="131"/>
      <c r="E29" s="131"/>
      <c r="F29" s="131"/>
      <c r="G29" s="117"/>
      <c r="H29" s="119"/>
      <c r="I29" s="119"/>
      <c r="J29" s="119"/>
      <c r="K29" s="119"/>
      <c r="L29" s="119"/>
      <c r="M29" s="119"/>
    </row>
    <row r="30" spans="1:16" ht="31.5">
      <c r="A30" s="113" t="s">
        <v>36</v>
      </c>
      <c r="B30" s="114" t="s">
        <v>37</v>
      </c>
      <c r="C30" s="115">
        <v>1</v>
      </c>
      <c r="D30" s="131"/>
      <c r="E30" s="131"/>
      <c r="F30" s="131"/>
      <c r="G30" s="146">
        <v>250.8</v>
      </c>
      <c r="H30" s="118">
        <v>360.4</v>
      </c>
      <c r="I30" s="118">
        <v>360.4</v>
      </c>
      <c r="J30" s="118">
        <v>402.7</v>
      </c>
      <c r="K30" s="147">
        <v>298.39999999999998</v>
      </c>
      <c r="L30" s="147">
        <v>298.39999999999998</v>
      </c>
      <c r="M30" s="147">
        <v>298.39999999999998</v>
      </c>
    </row>
    <row r="31" spans="1:16" ht="14.25">
      <c r="A31" s="130" t="s">
        <v>38</v>
      </c>
      <c r="B31" s="120"/>
      <c r="C31" s="115"/>
      <c r="D31" s="131"/>
      <c r="E31" s="131"/>
      <c r="F31" s="131"/>
      <c r="G31" s="117"/>
      <c r="H31" s="119"/>
      <c r="I31" s="119"/>
      <c r="J31" s="119"/>
      <c r="K31" s="119"/>
      <c r="L31" s="119"/>
      <c r="M31" s="119"/>
    </row>
    <row r="32" spans="1:16" ht="12.75">
      <c r="A32" s="148" t="s">
        <v>39</v>
      </c>
      <c r="B32" s="149"/>
      <c r="C32" s="115"/>
      <c r="D32" s="131"/>
      <c r="E32" s="131"/>
      <c r="F32" s="131"/>
      <c r="G32" s="117" t="s">
        <v>40</v>
      </c>
      <c r="H32" s="119" t="s">
        <v>40</v>
      </c>
      <c r="I32" s="119" t="s">
        <v>40</v>
      </c>
      <c r="J32" s="119" t="s">
        <v>40</v>
      </c>
      <c r="K32" s="119" t="s">
        <v>40</v>
      </c>
      <c r="L32" s="119" t="s">
        <v>40</v>
      </c>
      <c r="M32" s="119"/>
    </row>
    <row r="33" spans="1:15" ht="21.75">
      <c r="A33" s="148" t="s">
        <v>41</v>
      </c>
      <c r="B33" s="149" t="s">
        <v>0</v>
      </c>
      <c r="C33" s="115">
        <v>1</v>
      </c>
      <c r="D33" s="131"/>
      <c r="E33" s="131"/>
      <c r="F33" s="131"/>
      <c r="G33" s="117" t="s">
        <v>40</v>
      </c>
      <c r="H33" s="119" t="s">
        <v>40</v>
      </c>
      <c r="I33" s="119"/>
      <c r="J33" s="119" t="s">
        <v>40</v>
      </c>
      <c r="K33" s="119" t="s">
        <v>40</v>
      </c>
      <c r="L33" s="119" t="s">
        <v>40</v>
      </c>
      <c r="M33" s="119"/>
    </row>
    <row r="34" spans="1:15" ht="21.75">
      <c r="A34" s="148" t="s">
        <v>42</v>
      </c>
      <c r="B34" s="149" t="s">
        <v>43</v>
      </c>
      <c r="C34" s="115">
        <v>1</v>
      </c>
      <c r="D34" s="131"/>
      <c r="E34" s="131"/>
      <c r="F34" s="131"/>
      <c r="G34" s="117" t="s">
        <v>40</v>
      </c>
      <c r="H34" s="119" t="s">
        <v>40</v>
      </c>
      <c r="I34" s="119"/>
      <c r="J34" s="119" t="s">
        <v>40</v>
      </c>
      <c r="K34" s="119" t="s">
        <v>40</v>
      </c>
      <c r="L34" s="119" t="s">
        <v>40</v>
      </c>
      <c r="M34" s="119"/>
    </row>
    <row r="35" spans="1:15" ht="12.75">
      <c r="A35" s="148" t="s">
        <v>44</v>
      </c>
      <c r="B35" s="149" t="s">
        <v>0</v>
      </c>
      <c r="C35" s="115">
        <v>1</v>
      </c>
      <c r="D35" s="131"/>
      <c r="E35" s="131"/>
      <c r="F35" s="131"/>
      <c r="G35" s="117">
        <f>11/63080*10000</f>
        <v>1.7438173747622068</v>
      </c>
      <c r="H35" s="147">
        <f t="shared" ref="H35:M35" si="4">11/H6*10</f>
        <v>1.6709706820598511</v>
      </c>
      <c r="I35" s="147">
        <f t="shared" si="4"/>
        <v>1.6364177328176139</v>
      </c>
      <c r="J35" s="147">
        <f>11/J6*10</f>
        <v>1.607717041800643</v>
      </c>
      <c r="K35" s="147">
        <f>11/K6*10</f>
        <v>1.5777395295467587</v>
      </c>
      <c r="L35" s="147">
        <f t="shared" si="4"/>
        <v>1.5466816647919011</v>
      </c>
      <c r="M35" s="147">
        <f t="shared" si="4"/>
        <v>1.5168229453943738</v>
      </c>
    </row>
    <row r="36" spans="1:15" ht="14.25">
      <c r="A36" s="130" t="s">
        <v>45</v>
      </c>
      <c r="B36" s="150"/>
      <c r="C36" s="115"/>
      <c r="D36" s="131"/>
      <c r="E36" s="131"/>
      <c r="F36" s="131"/>
      <c r="G36" s="117"/>
      <c r="H36" s="119"/>
      <c r="I36" s="119"/>
      <c r="J36" s="119"/>
      <c r="K36" s="119"/>
      <c r="L36" s="119"/>
      <c r="M36" s="119"/>
    </row>
    <row r="37" spans="1:15" ht="21">
      <c r="A37" s="113" t="s">
        <v>46</v>
      </c>
      <c r="B37" s="120" t="s">
        <v>21</v>
      </c>
      <c r="C37" s="115">
        <v>1</v>
      </c>
      <c r="D37" s="131"/>
      <c r="E37" s="131"/>
      <c r="F37" s="131"/>
      <c r="G37" s="117">
        <v>1412.5</v>
      </c>
      <c r="H37" s="118">
        <f>1692599/1000</f>
        <v>1692.5989999999999</v>
      </c>
      <c r="I37" s="118">
        <v>2010.7</v>
      </c>
      <c r="J37" s="118">
        <f>2227316/1000</f>
        <v>2227.3159999999998</v>
      </c>
      <c r="K37" s="147">
        <v>2441</v>
      </c>
      <c r="L37" s="147">
        <v>2663</v>
      </c>
      <c r="M37" s="147">
        <v>2663</v>
      </c>
      <c r="N37" s="137"/>
      <c r="O37" s="137"/>
    </row>
    <row r="38" spans="1:15" ht="12.75">
      <c r="A38" s="113" t="s">
        <v>14</v>
      </c>
      <c r="B38" s="120" t="s">
        <v>15</v>
      </c>
      <c r="C38" s="115"/>
      <c r="D38" s="131"/>
      <c r="E38" s="131"/>
      <c r="F38" s="131"/>
      <c r="G38" s="117"/>
      <c r="H38" s="121">
        <f t="shared" ref="H38:M38" si="5">H37/G37*100/H39*100</f>
        <v>115.77779487837201</v>
      </c>
      <c r="I38" s="121">
        <f t="shared" si="5"/>
        <v>115.1101184142431</v>
      </c>
      <c r="J38" s="121">
        <f t="shared" si="5"/>
        <v>107.65127655478564</v>
      </c>
      <c r="K38" s="121">
        <f t="shared" si="5"/>
        <v>105.78551073029632</v>
      </c>
      <c r="L38" s="121">
        <f t="shared" si="5"/>
        <v>105.9171197543582</v>
      </c>
      <c r="M38" s="121">
        <f t="shared" si="5"/>
        <v>97.087378640776706</v>
      </c>
      <c r="N38" s="137"/>
    </row>
    <row r="39" spans="1:15" ht="12.75">
      <c r="A39" s="113" t="s">
        <v>16</v>
      </c>
      <c r="B39" s="120" t="s">
        <v>15</v>
      </c>
      <c r="C39" s="115"/>
      <c r="D39" s="131"/>
      <c r="E39" s="131"/>
      <c r="F39" s="131"/>
      <c r="G39" s="117"/>
      <c r="H39" s="121">
        <v>103.5</v>
      </c>
      <c r="I39" s="121">
        <v>103.2</v>
      </c>
      <c r="J39" s="121">
        <v>102.9</v>
      </c>
      <c r="K39" s="121">
        <v>103.6</v>
      </c>
      <c r="L39" s="121">
        <v>103</v>
      </c>
      <c r="M39" s="121">
        <v>103</v>
      </c>
    </row>
    <row r="40" spans="1:15" ht="14.25">
      <c r="A40" s="124" t="s">
        <v>47</v>
      </c>
      <c r="B40" s="134"/>
      <c r="C40" s="115"/>
      <c r="D40" s="131"/>
      <c r="E40" s="131"/>
      <c r="F40" s="131"/>
      <c r="G40" s="117"/>
      <c r="H40" s="119"/>
      <c r="I40" s="119"/>
      <c r="J40" s="119"/>
      <c r="K40" s="119"/>
      <c r="L40" s="119"/>
      <c r="M40" s="119"/>
    </row>
    <row r="41" spans="1:15" ht="12.75">
      <c r="A41" s="113" t="s">
        <v>48</v>
      </c>
      <c r="B41" s="120" t="s">
        <v>49</v>
      </c>
      <c r="C41" s="115">
        <v>1</v>
      </c>
      <c r="D41" s="131"/>
      <c r="E41" s="131"/>
      <c r="F41" s="131"/>
      <c r="G41" s="117">
        <v>5372</v>
      </c>
      <c r="H41" s="118">
        <v>2777.4</v>
      </c>
      <c r="I41" s="118">
        <v>3131.9</v>
      </c>
      <c r="J41" s="118">
        <v>3759</v>
      </c>
      <c r="K41" s="119">
        <v>4175</v>
      </c>
      <c r="L41" s="119">
        <v>4680.5</v>
      </c>
      <c r="M41" s="119">
        <v>4680.5</v>
      </c>
    </row>
    <row r="42" spans="1:15" ht="12.75">
      <c r="A42" s="113" t="s">
        <v>14</v>
      </c>
      <c r="B42" s="120" t="s">
        <v>15</v>
      </c>
      <c r="C42" s="115"/>
      <c r="D42" s="131"/>
      <c r="E42" s="131"/>
      <c r="F42" s="131"/>
      <c r="G42" s="117"/>
      <c r="H42" s="121">
        <f t="shared" ref="H42:M42" si="6">H41/G41*100/H43*100</f>
        <v>49.052575657601935</v>
      </c>
      <c r="I42" s="121">
        <f t="shared" si="6"/>
        <v>107.59898460694473</v>
      </c>
      <c r="J42" s="121">
        <f t="shared" si="6"/>
        <v>114.85453515766373</v>
      </c>
      <c r="K42" s="121">
        <f t="shared" si="6"/>
        <v>106.69238528140852</v>
      </c>
      <c r="L42" s="121">
        <f t="shared" si="6"/>
        <v>107.79594656840166</v>
      </c>
      <c r="M42" s="121">
        <f t="shared" si="6"/>
        <v>96.15384615384616</v>
      </c>
    </row>
    <row r="43" spans="1:15" ht="12.75">
      <c r="A43" s="113" t="s">
        <v>16</v>
      </c>
      <c r="B43" s="120" t="s">
        <v>15</v>
      </c>
      <c r="C43" s="115"/>
      <c r="D43" s="131"/>
      <c r="E43" s="131"/>
      <c r="F43" s="131"/>
      <c r="G43" s="117"/>
      <c r="H43" s="121">
        <v>105.4</v>
      </c>
      <c r="I43" s="121">
        <v>104.8</v>
      </c>
      <c r="J43" s="121">
        <v>104.5</v>
      </c>
      <c r="K43" s="121">
        <v>104.1</v>
      </c>
      <c r="L43" s="121">
        <v>104</v>
      </c>
      <c r="M43" s="121">
        <v>104</v>
      </c>
    </row>
    <row r="44" spans="1:15" ht="14.25">
      <c r="A44" s="124" t="s">
        <v>50</v>
      </c>
      <c r="B44" s="134"/>
      <c r="C44" s="115"/>
      <c r="D44" s="131"/>
      <c r="E44" s="131"/>
      <c r="F44" s="131"/>
      <c r="G44" s="117"/>
      <c r="H44" s="119"/>
      <c r="I44" s="119"/>
      <c r="J44" s="119"/>
      <c r="K44" s="119"/>
      <c r="L44" s="119"/>
      <c r="M44" s="119"/>
    </row>
    <row r="45" spans="1:15" ht="12.75">
      <c r="A45" s="151" t="s">
        <v>51</v>
      </c>
      <c r="B45" s="120" t="s">
        <v>52</v>
      </c>
      <c r="C45" s="115">
        <v>1</v>
      </c>
      <c r="D45" s="131"/>
      <c r="E45" s="131"/>
      <c r="F45" s="131"/>
      <c r="G45" s="117" t="s">
        <v>40</v>
      </c>
      <c r="H45" s="119" t="s">
        <v>40</v>
      </c>
      <c r="I45" s="119"/>
      <c r="J45" s="119" t="s">
        <v>40</v>
      </c>
      <c r="K45" s="119" t="s">
        <v>40</v>
      </c>
      <c r="L45" s="119" t="s">
        <v>40</v>
      </c>
      <c r="M45" s="119"/>
    </row>
    <row r="46" spans="1:15" ht="12.75">
      <c r="A46" s="151" t="s">
        <v>53</v>
      </c>
      <c r="B46" s="120" t="s">
        <v>52</v>
      </c>
      <c r="C46" s="115">
        <v>1</v>
      </c>
      <c r="D46" s="131"/>
      <c r="E46" s="131"/>
      <c r="F46" s="131"/>
      <c r="G46" s="117" t="s">
        <v>40</v>
      </c>
      <c r="H46" s="119" t="s">
        <v>40</v>
      </c>
      <c r="I46" s="119"/>
      <c r="J46" s="119" t="s">
        <v>40</v>
      </c>
      <c r="K46" s="119" t="s">
        <v>40</v>
      </c>
      <c r="L46" s="119" t="s">
        <v>40</v>
      </c>
      <c r="M46" s="119"/>
    </row>
    <row r="47" spans="1:15" ht="28.5">
      <c r="A47" s="152" t="s">
        <v>54</v>
      </c>
      <c r="B47" s="153"/>
      <c r="C47" s="154"/>
      <c r="D47" s="155"/>
      <c r="E47" s="155"/>
      <c r="F47" s="155"/>
      <c r="G47" s="117"/>
      <c r="H47" s="119"/>
      <c r="I47" s="119"/>
      <c r="J47" s="119"/>
      <c r="K47" s="119"/>
      <c r="L47" s="119"/>
      <c r="M47" s="119"/>
    </row>
    <row r="48" spans="1:15" ht="12.75">
      <c r="A48" s="156" t="s">
        <v>55</v>
      </c>
      <c r="B48" s="157" t="s">
        <v>0</v>
      </c>
      <c r="C48" s="154"/>
      <c r="D48" s="155"/>
      <c r="E48" s="155"/>
      <c r="F48" s="155"/>
      <c r="G48" s="117" t="s">
        <v>40</v>
      </c>
      <c r="H48" s="147">
        <v>3</v>
      </c>
      <c r="I48" s="147">
        <v>3</v>
      </c>
      <c r="J48" s="147">
        <v>3</v>
      </c>
      <c r="K48" s="147">
        <v>3</v>
      </c>
      <c r="L48" s="147">
        <v>3</v>
      </c>
      <c r="M48" s="147">
        <v>3</v>
      </c>
    </row>
    <row r="49" spans="1:14" ht="21">
      <c r="A49" s="158" t="s">
        <v>56</v>
      </c>
      <c r="B49" s="157"/>
      <c r="C49" s="154"/>
      <c r="D49" s="155"/>
      <c r="E49" s="155"/>
      <c r="F49" s="155"/>
      <c r="G49" s="117" t="s">
        <v>40</v>
      </c>
      <c r="H49" s="119"/>
      <c r="I49" s="119" t="s">
        <v>40</v>
      </c>
      <c r="J49" s="119" t="s">
        <v>40</v>
      </c>
      <c r="K49" s="119" t="s">
        <v>40</v>
      </c>
      <c r="L49" s="119"/>
      <c r="M49" s="119"/>
    </row>
    <row r="50" spans="1:14" ht="12.75">
      <c r="A50" s="159" t="s">
        <v>57</v>
      </c>
      <c r="B50" s="157" t="s">
        <v>0</v>
      </c>
      <c r="C50" s="154"/>
      <c r="D50" s="155"/>
      <c r="E50" s="155"/>
      <c r="F50" s="155"/>
      <c r="G50" s="117" t="s">
        <v>40</v>
      </c>
      <c r="H50" s="147">
        <v>1</v>
      </c>
      <c r="I50" s="147">
        <v>1</v>
      </c>
      <c r="J50" s="147">
        <v>1</v>
      </c>
      <c r="K50" s="147">
        <v>1</v>
      </c>
      <c r="L50" s="147">
        <v>1</v>
      </c>
      <c r="M50" s="147">
        <v>1</v>
      </c>
    </row>
    <row r="51" spans="1:14" ht="12.75">
      <c r="A51" s="159" t="s">
        <v>58</v>
      </c>
      <c r="B51" s="157" t="s">
        <v>0</v>
      </c>
      <c r="C51" s="154"/>
      <c r="D51" s="155"/>
      <c r="E51" s="155"/>
      <c r="F51" s="155"/>
      <c r="G51" s="117" t="s">
        <v>40</v>
      </c>
      <c r="H51" s="119" t="s">
        <v>40</v>
      </c>
      <c r="I51" s="119"/>
      <c r="J51" s="119" t="s">
        <v>40</v>
      </c>
      <c r="K51" s="119" t="s">
        <v>40</v>
      </c>
      <c r="L51" s="119" t="s">
        <v>40</v>
      </c>
      <c r="M51" s="119"/>
    </row>
    <row r="52" spans="1:14" ht="21">
      <c r="A52" s="159" t="s">
        <v>59</v>
      </c>
      <c r="B52" s="157" t="s">
        <v>0</v>
      </c>
      <c r="C52" s="154"/>
      <c r="D52" s="155"/>
      <c r="E52" s="155"/>
      <c r="F52" s="155"/>
      <c r="G52" s="117" t="s">
        <v>40</v>
      </c>
      <c r="H52" s="119" t="s">
        <v>40</v>
      </c>
      <c r="I52" s="119"/>
      <c r="J52" s="119" t="s">
        <v>40</v>
      </c>
      <c r="K52" s="119" t="s">
        <v>40</v>
      </c>
      <c r="L52" s="119" t="s">
        <v>40</v>
      </c>
      <c r="M52" s="119"/>
    </row>
    <row r="53" spans="1:14" ht="12.75">
      <c r="A53" s="159" t="s">
        <v>60</v>
      </c>
      <c r="B53" s="157" t="s">
        <v>0</v>
      </c>
      <c r="C53" s="154"/>
      <c r="D53" s="155"/>
      <c r="E53" s="155"/>
      <c r="F53" s="155"/>
      <c r="G53" s="117" t="s">
        <v>40</v>
      </c>
      <c r="H53" s="119" t="s">
        <v>40</v>
      </c>
      <c r="I53" s="119"/>
      <c r="J53" s="119" t="s">
        <v>40</v>
      </c>
      <c r="K53" s="119" t="s">
        <v>40</v>
      </c>
      <c r="L53" s="119" t="s">
        <v>40</v>
      </c>
      <c r="M53" s="119"/>
    </row>
    <row r="54" spans="1:14" ht="31.5">
      <c r="A54" s="159" t="s">
        <v>61</v>
      </c>
      <c r="B54" s="157" t="s">
        <v>0</v>
      </c>
      <c r="C54" s="154"/>
      <c r="D54" s="155"/>
      <c r="E54" s="155"/>
      <c r="F54" s="155"/>
      <c r="G54" s="117" t="s">
        <v>40</v>
      </c>
      <c r="H54" s="119" t="s">
        <v>40</v>
      </c>
      <c r="I54" s="119"/>
      <c r="J54" s="119" t="s">
        <v>40</v>
      </c>
      <c r="K54" s="119" t="s">
        <v>40</v>
      </c>
      <c r="L54" s="119" t="s">
        <v>40</v>
      </c>
      <c r="M54" s="119"/>
    </row>
    <row r="55" spans="1:14" ht="12.75">
      <c r="A55" s="159" t="s">
        <v>62</v>
      </c>
      <c r="B55" s="157" t="s">
        <v>0</v>
      </c>
      <c r="C55" s="154"/>
      <c r="D55" s="155"/>
      <c r="E55" s="155"/>
      <c r="F55" s="155"/>
      <c r="G55" s="117" t="s">
        <v>40</v>
      </c>
      <c r="H55" s="119" t="s">
        <v>40</v>
      </c>
      <c r="I55" s="119"/>
      <c r="J55" s="119" t="s">
        <v>40</v>
      </c>
      <c r="K55" s="119" t="s">
        <v>40</v>
      </c>
      <c r="L55" s="119" t="s">
        <v>40</v>
      </c>
      <c r="M55" s="119"/>
    </row>
    <row r="56" spans="1:14" ht="21">
      <c r="A56" s="159" t="s">
        <v>63</v>
      </c>
      <c r="B56" s="157" t="s">
        <v>0</v>
      </c>
      <c r="C56" s="154"/>
      <c r="D56" s="155"/>
      <c r="E56" s="155"/>
      <c r="F56" s="155"/>
      <c r="G56" s="117" t="s">
        <v>40</v>
      </c>
      <c r="H56" s="119" t="s">
        <v>40</v>
      </c>
      <c r="I56" s="119"/>
      <c r="J56" s="119" t="s">
        <v>40</v>
      </c>
      <c r="K56" s="119" t="s">
        <v>40</v>
      </c>
      <c r="L56" s="119" t="s">
        <v>40</v>
      </c>
      <c r="M56" s="119"/>
    </row>
    <row r="57" spans="1:14" ht="12.75">
      <c r="A57" s="159" t="s">
        <v>64</v>
      </c>
      <c r="B57" s="157" t="s">
        <v>0</v>
      </c>
      <c r="C57" s="154"/>
      <c r="D57" s="155"/>
      <c r="E57" s="155"/>
      <c r="F57" s="155"/>
      <c r="G57" s="117" t="s">
        <v>40</v>
      </c>
      <c r="H57" s="119" t="s">
        <v>40</v>
      </c>
      <c r="I57" s="119"/>
      <c r="J57" s="119" t="s">
        <v>40</v>
      </c>
      <c r="K57" s="119" t="s">
        <v>40</v>
      </c>
      <c r="L57" s="119" t="s">
        <v>40</v>
      </c>
      <c r="M57" s="119"/>
      <c r="N57" s="160"/>
    </row>
    <row r="58" spans="1:14" ht="21">
      <c r="A58" s="156" t="s">
        <v>65</v>
      </c>
      <c r="B58" s="157" t="s">
        <v>0</v>
      </c>
      <c r="C58" s="115">
        <v>1</v>
      </c>
      <c r="D58" s="131"/>
      <c r="E58" s="131"/>
      <c r="F58" s="131"/>
      <c r="G58" s="161">
        <v>361</v>
      </c>
      <c r="H58" s="118">
        <f>H60+H61+H62+H63+H64+H65+H66+H67+H68+H69</f>
        <v>304</v>
      </c>
      <c r="I58" s="118">
        <f>I60+I61+I62+I63+I64+I65+I66+I67+I68+I69</f>
        <v>285</v>
      </c>
      <c r="J58" s="118">
        <f>J60+J61+J62+J63+J64+J65+J66+J67+J68+J69</f>
        <v>215</v>
      </c>
      <c r="K58" s="119">
        <f>K60+K61+K62+K63+K65+K66+K67+K68+K69+K64</f>
        <v>323.22399999999999</v>
      </c>
      <c r="L58" s="119">
        <f>L60+L61+L62+L63+L65+L66+L67+L68+L69+L64</f>
        <v>323.449792</v>
      </c>
      <c r="M58" s="119">
        <f>M60+M61+M62+M63+M65+M66+M67+M68+M69+M64</f>
        <v>325.60481279999999</v>
      </c>
      <c r="N58" s="160"/>
    </row>
    <row r="59" spans="1:14" ht="21">
      <c r="A59" s="158" t="s">
        <v>56</v>
      </c>
      <c r="B59" s="157"/>
      <c r="C59" s="115"/>
      <c r="D59" s="131"/>
      <c r="E59" s="131"/>
      <c r="F59" s="131"/>
      <c r="G59" s="161"/>
      <c r="H59" s="119"/>
      <c r="I59" s="119"/>
      <c r="J59" s="119"/>
      <c r="K59" s="119"/>
      <c r="L59" s="119"/>
      <c r="M59" s="119"/>
      <c r="N59" s="160"/>
    </row>
    <row r="60" spans="1:14" ht="12.75">
      <c r="A60" s="159" t="s">
        <v>57</v>
      </c>
      <c r="B60" s="157" t="s">
        <v>0</v>
      </c>
      <c r="C60" s="115"/>
      <c r="D60" s="131"/>
      <c r="E60" s="131"/>
      <c r="F60" s="131"/>
      <c r="G60" s="161">
        <v>5</v>
      </c>
      <c r="H60" s="118">
        <v>11</v>
      </c>
      <c r="I60" s="118">
        <v>8</v>
      </c>
      <c r="J60" s="118">
        <v>8</v>
      </c>
      <c r="K60" s="119">
        <v>13</v>
      </c>
      <c r="L60" s="119">
        <v>13</v>
      </c>
      <c r="M60" s="119">
        <v>13</v>
      </c>
    </row>
    <row r="61" spans="1:14" ht="12.75">
      <c r="A61" s="159" t="s">
        <v>58</v>
      </c>
      <c r="B61" s="157" t="s">
        <v>0</v>
      </c>
      <c r="C61" s="115"/>
      <c r="D61" s="131"/>
      <c r="E61" s="131"/>
      <c r="F61" s="131"/>
      <c r="G61" s="161"/>
      <c r="H61" s="118"/>
      <c r="I61" s="118">
        <v>3</v>
      </c>
      <c r="J61" s="118">
        <v>3</v>
      </c>
      <c r="K61" s="119">
        <f t="shared" ref="K61:L63" si="7">J61*1.008</f>
        <v>3.024</v>
      </c>
      <c r="L61" s="119">
        <f t="shared" si="7"/>
        <v>3.0481920000000002</v>
      </c>
      <c r="M61" s="119"/>
    </row>
    <row r="62" spans="1:14" ht="21">
      <c r="A62" s="159" t="s">
        <v>59</v>
      </c>
      <c r="B62" s="157" t="s">
        <v>0</v>
      </c>
      <c r="C62" s="115">
        <v>1</v>
      </c>
      <c r="D62" s="131"/>
      <c r="E62" s="131"/>
      <c r="F62" s="131"/>
      <c r="G62" s="161">
        <v>5</v>
      </c>
      <c r="H62" s="118">
        <v>5</v>
      </c>
      <c r="I62" s="118">
        <v>5</v>
      </c>
      <c r="J62" s="118">
        <v>4</v>
      </c>
      <c r="K62" s="119">
        <f t="shared" si="7"/>
        <v>4.032</v>
      </c>
      <c r="L62" s="119">
        <f t="shared" si="7"/>
        <v>4.0642560000000003</v>
      </c>
      <c r="M62" s="119">
        <f>L62*1.008</f>
        <v>4.0967700480000007</v>
      </c>
    </row>
    <row r="63" spans="1:14" ht="12.75">
      <c r="A63" s="159" t="s">
        <v>60</v>
      </c>
      <c r="B63" s="125"/>
      <c r="C63" s="115">
        <v>1</v>
      </c>
      <c r="D63" s="131"/>
      <c r="E63" s="131"/>
      <c r="F63" s="131"/>
      <c r="G63" s="161">
        <v>30</v>
      </c>
      <c r="H63" s="118">
        <v>26</v>
      </c>
      <c r="I63" s="118">
        <v>23</v>
      </c>
      <c r="J63" s="118">
        <v>20</v>
      </c>
      <c r="K63" s="119">
        <f t="shared" si="7"/>
        <v>20.16</v>
      </c>
      <c r="L63" s="119">
        <f t="shared" si="7"/>
        <v>20.321280000000002</v>
      </c>
      <c r="M63" s="119">
        <f>L63*1.008</f>
        <v>20.483850240000002</v>
      </c>
    </row>
    <row r="64" spans="1:14" ht="12.75">
      <c r="A64" s="159" t="s">
        <v>66</v>
      </c>
      <c r="B64" s="157" t="s">
        <v>0</v>
      </c>
      <c r="C64" s="115"/>
      <c r="D64" s="131"/>
      <c r="E64" s="131"/>
      <c r="F64" s="131"/>
      <c r="G64" s="161"/>
      <c r="H64" s="118">
        <v>56</v>
      </c>
      <c r="I64" s="118">
        <v>54</v>
      </c>
      <c r="J64" s="118">
        <v>52</v>
      </c>
      <c r="K64" s="119">
        <v>56</v>
      </c>
      <c r="L64" s="119">
        <v>56</v>
      </c>
      <c r="M64" s="119">
        <v>56</v>
      </c>
    </row>
    <row r="65" spans="1:13" ht="31.5">
      <c r="A65" s="159" t="s">
        <v>61</v>
      </c>
      <c r="B65" s="157" t="s">
        <v>0</v>
      </c>
      <c r="C65" s="115"/>
      <c r="D65" s="131"/>
      <c r="E65" s="131"/>
      <c r="F65" s="131"/>
      <c r="G65" s="161">
        <v>120</v>
      </c>
      <c r="H65" s="118">
        <v>69</v>
      </c>
      <c r="I65" s="118">
        <v>66</v>
      </c>
      <c r="J65" s="118">
        <v>62</v>
      </c>
      <c r="K65" s="119">
        <v>79</v>
      </c>
      <c r="L65" s="119">
        <v>79</v>
      </c>
      <c r="M65" s="119">
        <v>79</v>
      </c>
    </row>
    <row r="66" spans="1:13" ht="12.75">
      <c r="A66" s="159" t="s">
        <v>62</v>
      </c>
      <c r="B66" s="157" t="s">
        <v>0</v>
      </c>
      <c r="C66" s="115">
        <v>1</v>
      </c>
      <c r="D66" s="131"/>
      <c r="E66" s="131"/>
      <c r="F66" s="131"/>
      <c r="G66" s="161">
        <v>1</v>
      </c>
      <c r="H66" s="118">
        <v>1</v>
      </c>
      <c r="I66" s="118">
        <v>1</v>
      </c>
      <c r="J66" s="118">
        <v>1</v>
      </c>
      <c r="K66" s="119">
        <f>J66*1.008</f>
        <v>1.008</v>
      </c>
      <c r="L66" s="119">
        <f>K66*1.008</f>
        <v>1.0160640000000001</v>
      </c>
      <c r="M66" s="119">
        <f>L66*1.008</f>
        <v>1.0241925120000002</v>
      </c>
    </row>
    <row r="67" spans="1:13" ht="21">
      <c r="A67" s="159" t="s">
        <v>63</v>
      </c>
      <c r="B67" s="157" t="s">
        <v>0</v>
      </c>
      <c r="C67" s="115">
        <v>1</v>
      </c>
      <c r="D67" s="131"/>
      <c r="E67" s="131"/>
      <c r="F67" s="131"/>
      <c r="G67" s="161"/>
      <c r="H67" s="118"/>
      <c r="I67" s="118"/>
      <c r="J67" s="118"/>
      <c r="K67" s="119"/>
      <c r="L67" s="119"/>
      <c r="M67" s="119"/>
    </row>
    <row r="68" spans="1:13" ht="12.75">
      <c r="A68" s="159" t="s">
        <v>64</v>
      </c>
      <c r="B68" s="157" t="s">
        <v>0</v>
      </c>
      <c r="C68" s="115">
        <v>1</v>
      </c>
      <c r="D68" s="131"/>
      <c r="E68" s="131"/>
      <c r="F68" s="131"/>
      <c r="G68" s="161"/>
      <c r="H68" s="118"/>
      <c r="I68" s="118"/>
      <c r="J68" s="118"/>
      <c r="K68" s="119"/>
      <c r="L68" s="119"/>
      <c r="M68" s="119"/>
    </row>
    <row r="69" spans="1:13" ht="12.75">
      <c r="A69" s="159" t="s">
        <v>67</v>
      </c>
      <c r="B69" s="157"/>
      <c r="C69" s="115"/>
      <c r="D69" s="131"/>
      <c r="E69" s="131"/>
      <c r="F69" s="131"/>
      <c r="G69" s="161">
        <f>G58-G60-G61-G62-G63-G65-G66</f>
        <v>200</v>
      </c>
      <c r="H69" s="118">
        <v>136</v>
      </c>
      <c r="I69" s="118">
        <v>125</v>
      </c>
      <c r="J69" s="118">
        <v>65</v>
      </c>
      <c r="K69" s="119">
        <v>147</v>
      </c>
      <c r="L69" s="119">
        <v>147</v>
      </c>
      <c r="M69" s="119">
        <v>152</v>
      </c>
    </row>
    <row r="70" spans="1:13" ht="31.5">
      <c r="A70" s="156" t="s">
        <v>68</v>
      </c>
      <c r="B70" s="157" t="s">
        <v>13</v>
      </c>
      <c r="C70" s="115">
        <v>1</v>
      </c>
      <c r="D70" s="131"/>
      <c r="E70" s="131"/>
      <c r="F70" s="131"/>
      <c r="G70" s="117">
        <v>1291</v>
      </c>
      <c r="H70" s="162">
        <f>1.08+2.16</f>
        <v>3.24</v>
      </c>
      <c r="I70" s="162">
        <f>1.054+2.419</f>
        <v>3.4729999999999999</v>
      </c>
      <c r="J70" s="162">
        <v>3.488</v>
      </c>
      <c r="K70" s="162">
        <v>3.6</v>
      </c>
      <c r="L70" s="162">
        <v>3.65</v>
      </c>
      <c r="M70" s="162">
        <v>3.65</v>
      </c>
    </row>
    <row r="71" spans="1:13" ht="12.75">
      <c r="A71" s="156" t="s">
        <v>69</v>
      </c>
      <c r="B71" s="157" t="s">
        <v>21</v>
      </c>
      <c r="C71" s="115"/>
      <c r="D71" s="131"/>
      <c r="E71" s="131"/>
      <c r="F71" s="131"/>
      <c r="G71" s="117" t="s">
        <v>40</v>
      </c>
      <c r="H71" s="162"/>
      <c r="I71" s="162" t="s">
        <v>40</v>
      </c>
      <c r="J71" s="162" t="s">
        <v>40</v>
      </c>
      <c r="K71" s="162" t="s">
        <v>40</v>
      </c>
      <c r="L71" s="162"/>
      <c r="M71" s="162"/>
    </row>
    <row r="72" spans="1:13" ht="12.75">
      <c r="A72" s="158" t="s">
        <v>70</v>
      </c>
      <c r="B72" s="157"/>
      <c r="C72" s="115"/>
      <c r="D72" s="131"/>
      <c r="E72" s="131"/>
      <c r="F72" s="131"/>
      <c r="G72" s="117" t="s">
        <v>40</v>
      </c>
      <c r="H72" s="162"/>
      <c r="I72" s="162" t="s">
        <v>40</v>
      </c>
      <c r="J72" s="162" t="s">
        <v>40</v>
      </c>
      <c r="K72" s="162" t="s">
        <v>40</v>
      </c>
      <c r="L72" s="162"/>
      <c r="M72" s="162"/>
    </row>
    <row r="73" spans="1:13" ht="12.75">
      <c r="A73" s="159" t="s">
        <v>57</v>
      </c>
      <c r="B73" s="157" t="s">
        <v>21</v>
      </c>
      <c r="C73" s="115"/>
      <c r="D73" s="131"/>
      <c r="E73" s="131"/>
      <c r="F73" s="131"/>
      <c r="G73" s="117" t="s">
        <v>40</v>
      </c>
      <c r="H73" s="162">
        <v>429</v>
      </c>
      <c r="I73" s="162">
        <v>429</v>
      </c>
      <c r="J73" s="162">
        <v>429</v>
      </c>
      <c r="K73" s="162">
        <v>429</v>
      </c>
      <c r="L73" s="162">
        <v>429</v>
      </c>
      <c r="M73" s="162">
        <v>429</v>
      </c>
    </row>
    <row r="74" spans="1:13" ht="12.75">
      <c r="A74" s="159" t="s">
        <v>58</v>
      </c>
      <c r="B74" s="157" t="s">
        <v>21</v>
      </c>
      <c r="C74" s="115"/>
      <c r="D74" s="131"/>
      <c r="E74" s="131"/>
      <c r="F74" s="131"/>
      <c r="G74" s="117" t="s">
        <v>40</v>
      </c>
      <c r="H74" s="162">
        <v>20</v>
      </c>
      <c r="I74" s="162">
        <v>20</v>
      </c>
      <c r="J74" s="162">
        <v>20</v>
      </c>
      <c r="K74" s="162">
        <v>20</v>
      </c>
      <c r="L74" s="162">
        <v>20</v>
      </c>
      <c r="M74" s="162">
        <v>20</v>
      </c>
    </row>
    <row r="75" spans="1:13" ht="21">
      <c r="A75" s="159" t="s">
        <v>59</v>
      </c>
      <c r="B75" s="157" t="s">
        <v>21</v>
      </c>
      <c r="C75" s="115"/>
      <c r="D75" s="131"/>
      <c r="E75" s="131"/>
      <c r="F75" s="131"/>
      <c r="G75" s="117" t="s">
        <v>40</v>
      </c>
      <c r="H75" s="162">
        <v>67</v>
      </c>
      <c r="I75" s="162">
        <v>67</v>
      </c>
      <c r="J75" s="162">
        <v>67</v>
      </c>
      <c r="K75" s="162">
        <v>67</v>
      </c>
      <c r="L75" s="162">
        <v>67</v>
      </c>
      <c r="M75" s="162">
        <v>67</v>
      </c>
    </row>
    <row r="76" spans="1:13" ht="12.75">
      <c r="A76" s="159" t="s">
        <v>60</v>
      </c>
      <c r="B76" s="157" t="s">
        <v>21</v>
      </c>
      <c r="C76" s="115"/>
      <c r="D76" s="131"/>
      <c r="E76" s="131"/>
      <c r="F76" s="131"/>
      <c r="G76" s="117" t="s">
        <v>40</v>
      </c>
      <c r="H76" s="162">
        <v>161</v>
      </c>
      <c r="I76" s="162">
        <v>172</v>
      </c>
      <c r="J76" s="162">
        <v>174</v>
      </c>
      <c r="K76" s="162">
        <v>177</v>
      </c>
      <c r="L76" s="162">
        <v>179</v>
      </c>
      <c r="M76" s="162">
        <v>179</v>
      </c>
    </row>
    <row r="77" spans="1:13" ht="31.5">
      <c r="A77" s="159" t="s">
        <v>61</v>
      </c>
      <c r="B77" s="157" t="s">
        <v>21</v>
      </c>
      <c r="C77" s="115"/>
      <c r="D77" s="131"/>
      <c r="E77" s="131"/>
      <c r="F77" s="131"/>
      <c r="G77" s="117" t="s">
        <v>40</v>
      </c>
      <c r="H77" s="162">
        <v>407</v>
      </c>
      <c r="I77" s="162">
        <v>423</v>
      </c>
      <c r="J77" s="162">
        <v>427</v>
      </c>
      <c r="K77" s="162">
        <v>433</v>
      </c>
      <c r="L77" s="162">
        <v>447</v>
      </c>
      <c r="M77" s="162">
        <v>447</v>
      </c>
    </row>
    <row r="78" spans="1:13" ht="12.75">
      <c r="A78" s="159" t="s">
        <v>62</v>
      </c>
      <c r="B78" s="157" t="s">
        <v>21</v>
      </c>
      <c r="C78" s="115"/>
      <c r="D78" s="131"/>
      <c r="E78" s="131"/>
      <c r="F78" s="131"/>
      <c r="G78" s="117" t="s">
        <v>40</v>
      </c>
      <c r="H78" s="162"/>
      <c r="I78" s="162" t="s">
        <v>40</v>
      </c>
      <c r="J78" s="162" t="s">
        <v>40</v>
      </c>
      <c r="K78" s="162" t="s">
        <v>40</v>
      </c>
      <c r="L78" s="162"/>
      <c r="M78" s="162"/>
    </row>
    <row r="79" spans="1:13" ht="21">
      <c r="A79" s="159" t="s">
        <v>71</v>
      </c>
      <c r="B79" s="157" t="s">
        <v>21</v>
      </c>
      <c r="C79" s="115"/>
      <c r="D79" s="131"/>
      <c r="E79" s="131"/>
      <c r="F79" s="131"/>
      <c r="G79" s="117" t="s">
        <v>40</v>
      </c>
      <c r="H79" s="162"/>
      <c r="I79" s="162" t="s">
        <v>40</v>
      </c>
      <c r="J79" s="162" t="s">
        <v>40</v>
      </c>
      <c r="K79" s="162" t="s">
        <v>40</v>
      </c>
      <c r="L79" s="162"/>
      <c r="M79" s="162"/>
    </row>
    <row r="80" spans="1:13" ht="12.75">
      <c r="A80" s="163" t="s">
        <v>31</v>
      </c>
      <c r="B80" s="157"/>
      <c r="C80" s="115"/>
      <c r="D80" s="131"/>
      <c r="E80" s="131"/>
      <c r="F80" s="131"/>
      <c r="G80" s="117" t="s">
        <v>40</v>
      </c>
      <c r="H80" s="162"/>
      <c r="I80" s="162" t="s">
        <v>40</v>
      </c>
      <c r="J80" s="162" t="s">
        <v>40</v>
      </c>
      <c r="K80" s="162" t="s">
        <v>40</v>
      </c>
      <c r="L80" s="162"/>
      <c r="M80" s="162"/>
    </row>
    <row r="81" spans="1:16" ht="12.75">
      <c r="A81" s="159" t="s">
        <v>72</v>
      </c>
      <c r="B81" s="157" t="s">
        <v>21</v>
      </c>
      <c r="C81" s="115"/>
      <c r="D81" s="131"/>
      <c r="E81" s="131"/>
      <c r="F81" s="131"/>
      <c r="G81" s="117" t="s">
        <v>40</v>
      </c>
      <c r="H81" s="162"/>
      <c r="I81" s="162" t="s">
        <v>40</v>
      </c>
      <c r="J81" s="162" t="s">
        <v>40</v>
      </c>
      <c r="K81" s="162" t="s">
        <v>40</v>
      </c>
      <c r="L81" s="162"/>
      <c r="M81" s="162"/>
    </row>
    <row r="82" spans="1:16" ht="35.25" customHeight="1">
      <c r="A82" s="156" t="s">
        <v>73</v>
      </c>
      <c r="B82" s="157" t="s">
        <v>21</v>
      </c>
      <c r="C82" s="115"/>
      <c r="D82" s="131"/>
      <c r="E82" s="131"/>
      <c r="F82" s="131"/>
      <c r="G82" s="117" t="e">
        <f>G84+G85+G86+G87+G88+G90+#REF!+#REF!</f>
        <v>#REF!</v>
      </c>
      <c r="H82" s="118">
        <v>1891.9</v>
      </c>
      <c r="I82" s="118">
        <v>2411.59</v>
      </c>
      <c r="J82" s="118">
        <v>2713.37</v>
      </c>
      <c r="K82" s="119">
        <v>3042.7</v>
      </c>
      <c r="L82" s="119">
        <f>K82*1.05</f>
        <v>3194.835</v>
      </c>
      <c r="M82" s="119">
        <f>L82*1.05</f>
        <v>3354.5767500000002</v>
      </c>
    </row>
    <row r="83" spans="1:16" ht="14.25" customHeight="1">
      <c r="A83" s="158" t="s">
        <v>70</v>
      </c>
      <c r="B83" s="157"/>
      <c r="C83" s="115"/>
      <c r="D83" s="131"/>
      <c r="E83" s="131"/>
      <c r="F83" s="131"/>
      <c r="G83" s="117"/>
      <c r="H83" s="119"/>
      <c r="I83" s="119"/>
      <c r="J83" s="119"/>
      <c r="K83" s="119"/>
      <c r="L83" s="119"/>
      <c r="M83" s="119"/>
    </row>
    <row r="84" spans="1:16" ht="14.25" customHeight="1">
      <c r="A84" s="159" t="s">
        <v>57</v>
      </c>
      <c r="B84" s="157" t="s">
        <v>21</v>
      </c>
      <c r="C84" s="115"/>
      <c r="D84" s="131"/>
      <c r="E84" s="131"/>
      <c r="F84" s="131"/>
      <c r="G84" s="146">
        <v>155.63999999999999</v>
      </c>
      <c r="H84" s="118">
        <v>341.1</v>
      </c>
      <c r="I84" s="118">
        <v>331.4</v>
      </c>
      <c r="J84" s="118">
        <v>448.1</v>
      </c>
      <c r="K84" s="119">
        <v>297</v>
      </c>
      <c r="L84" s="119">
        <v>297</v>
      </c>
      <c r="M84" s="119">
        <v>297</v>
      </c>
    </row>
    <row r="85" spans="1:16" ht="14.25" customHeight="1">
      <c r="A85" s="159" t="s">
        <v>58</v>
      </c>
      <c r="B85" s="157" t="s">
        <v>21</v>
      </c>
      <c r="C85" s="115"/>
      <c r="D85" s="131"/>
      <c r="E85" s="131"/>
      <c r="F85" s="131"/>
      <c r="G85" s="117">
        <v>31.25</v>
      </c>
      <c r="H85" s="118">
        <v>218.4</v>
      </c>
      <c r="I85" s="118">
        <v>407</v>
      </c>
      <c r="J85" s="118">
        <v>412.51</v>
      </c>
      <c r="K85" s="119">
        <v>45</v>
      </c>
      <c r="L85" s="119">
        <v>45</v>
      </c>
      <c r="M85" s="119">
        <v>45</v>
      </c>
    </row>
    <row r="86" spans="1:16" ht="14.25" customHeight="1">
      <c r="A86" s="159" t="s">
        <v>59</v>
      </c>
      <c r="B86" s="157" t="s">
        <v>21</v>
      </c>
      <c r="C86" s="115"/>
      <c r="D86" s="131"/>
      <c r="E86" s="131"/>
      <c r="F86" s="131"/>
      <c r="G86" s="117">
        <v>517.47</v>
      </c>
      <c r="H86" s="118">
        <v>164.95</v>
      </c>
      <c r="I86" s="118">
        <v>477.16</v>
      </c>
      <c r="J86" s="118">
        <v>494.89</v>
      </c>
      <c r="K86" s="119">
        <f>J86*112/100</f>
        <v>554.27679999999998</v>
      </c>
      <c r="L86" s="119">
        <f>K86*112/100</f>
        <v>620.79001599999992</v>
      </c>
      <c r="M86" s="119">
        <f>L86*112/100</f>
        <v>695.28481791999991</v>
      </c>
    </row>
    <row r="87" spans="1:16" ht="14.25" customHeight="1">
      <c r="A87" s="159" t="s">
        <v>60</v>
      </c>
      <c r="B87" s="157" t="s">
        <v>21</v>
      </c>
      <c r="C87" s="115"/>
      <c r="D87" s="131"/>
      <c r="E87" s="131"/>
      <c r="F87" s="131"/>
      <c r="G87" s="117">
        <v>593.11</v>
      </c>
      <c r="H87" s="118">
        <v>370.04</v>
      </c>
      <c r="I87" s="118">
        <v>512.73</v>
      </c>
      <c r="J87" s="118">
        <v>528.11</v>
      </c>
      <c r="K87" s="119">
        <v>1109</v>
      </c>
      <c r="L87" s="119">
        <v>1109</v>
      </c>
      <c r="M87" s="119">
        <v>1109</v>
      </c>
    </row>
    <row r="88" spans="1:16" ht="35.25" customHeight="1">
      <c r="A88" s="159" t="s">
        <v>61</v>
      </c>
      <c r="B88" s="157" t="s">
        <v>21</v>
      </c>
      <c r="C88" s="115"/>
      <c r="D88" s="131"/>
      <c r="E88" s="131"/>
      <c r="F88" s="131"/>
      <c r="G88" s="117">
        <v>239.35</v>
      </c>
      <c r="H88" s="118">
        <f>185.56+0.25</f>
        <v>185.81</v>
      </c>
      <c r="I88" s="118">
        <v>98.62</v>
      </c>
      <c r="J88" s="118">
        <v>101.57</v>
      </c>
      <c r="K88" s="147">
        <v>306</v>
      </c>
      <c r="L88" s="147">
        <v>306</v>
      </c>
      <c r="M88" s="147">
        <v>306</v>
      </c>
    </row>
    <row r="89" spans="1:16" ht="35.25" customHeight="1">
      <c r="A89" s="159" t="s">
        <v>74</v>
      </c>
      <c r="B89" s="157"/>
      <c r="C89" s="115"/>
      <c r="D89" s="131"/>
      <c r="E89" s="131"/>
      <c r="F89" s="131"/>
      <c r="G89" s="117"/>
      <c r="H89" s="118">
        <v>184.88</v>
      </c>
      <c r="I89" s="118">
        <v>166.36</v>
      </c>
      <c r="J89" s="118">
        <v>235.23</v>
      </c>
      <c r="K89" s="147"/>
      <c r="L89" s="147"/>
      <c r="M89" s="147"/>
    </row>
    <row r="90" spans="1:16" ht="23.25" customHeight="1">
      <c r="A90" s="159" t="s">
        <v>62</v>
      </c>
      <c r="B90" s="157" t="s">
        <v>21</v>
      </c>
      <c r="C90" s="115"/>
      <c r="D90" s="131"/>
      <c r="E90" s="131"/>
      <c r="F90" s="131"/>
      <c r="G90" s="117">
        <f>20/1000</f>
        <v>0.02</v>
      </c>
      <c r="H90" s="118">
        <v>0.05</v>
      </c>
      <c r="I90" s="118">
        <v>0.05</v>
      </c>
      <c r="J90" s="118">
        <v>0.05</v>
      </c>
      <c r="K90" s="147">
        <v>4.5999999999999996</v>
      </c>
      <c r="L90" s="147">
        <v>4.5999999999999996</v>
      </c>
      <c r="M90" s="147">
        <v>4.5999999999999996</v>
      </c>
    </row>
    <row r="91" spans="1:16" ht="23.25" customHeight="1">
      <c r="A91" s="159" t="s">
        <v>71</v>
      </c>
      <c r="B91" s="157" t="s">
        <v>21</v>
      </c>
      <c r="C91" s="115"/>
      <c r="D91" s="131"/>
      <c r="E91" s="131"/>
      <c r="F91" s="131"/>
      <c r="G91" s="117" t="s">
        <v>40</v>
      </c>
      <c r="H91" s="119" t="s">
        <v>40</v>
      </c>
      <c r="I91" s="119" t="s">
        <v>40</v>
      </c>
      <c r="J91" s="119" t="s">
        <v>40</v>
      </c>
      <c r="K91" s="119" t="s">
        <v>40</v>
      </c>
      <c r="L91" s="119" t="s">
        <v>40</v>
      </c>
      <c r="M91" s="119"/>
    </row>
    <row r="92" spans="1:16" ht="35.25" customHeight="1">
      <c r="A92" s="124" t="s">
        <v>75</v>
      </c>
      <c r="B92" s="114"/>
      <c r="C92" s="115"/>
      <c r="D92" s="131"/>
      <c r="E92" s="131"/>
      <c r="F92" s="131"/>
      <c r="G92" s="117"/>
      <c r="H92" s="119"/>
      <c r="I92" s="119"/>
      <c r="J92" s="119"/>
      <c r="K92" s="119"/>
      <c r="L92" s="119"/>
      <c r="M92" s="119"/>
    </row>
    <row r="93" spans="1:16" ht="21">
      <c r="A93" s="164" t="s">
        <v>76</v>
      </c>
      <c r="B93" s="165" t="s">
        <v>21</v>
      </c>
      <c r="C93" s="115">
        <v>1</v>
      </c>
      <c r="D93" s="131"/>
      <c r="E93" s="131"/>
      <c r="F93" s="131"/>
      <c r="G93" s="117">
        <v>5135.8</v>
      </c>
      <c r="H93" s="118">
        <v>1736.25</v>
      </c>
      <c r="I93" s="118">
        <v>3356.31</v>
      </c>
      <c r="J93" s="118">
        <v>3858.13</v>
      </c>
      <c r="K93" s="119">
        <v>4216.7</v>
      </c>
      <c r="L93" s="119">
        <v>4859</v>
      </c>
      <c r="M93" s="119">
        <v>4859</v>
      </c>
    </row>
    <row r="94" spans="1:16" ht="12.75">
      <c r="A94" s="113" t="s">
        <v>14</v>
      </c>
      <c r="B94" s="120" t="s">
        <v>15</v>
      </c>
      <c r="C94" s="115"/>
      <c r="D94" s="131"/>
      <c r="E94" s="131"/>
      <c r="F94" s="131"/>
      <c r="G94" s="117"/>
      <c r="H94" s="121">
        <f t="shared" ref="H94:M94" si="8">H93/G93*100/H95*100</f>
        <v>31.654313781514297</v>
      </c>
      <c r="I94" s="121">
        <f t="shared" si="8"/>
        <v>178.16404733704255</v>
      </c>
      <c r="J94" s="121">
        <f t="shared" si="8"/>
        <v>108.75263863896663</v>
      </c>
      <c r="K94" s="121">
        <f t="shared" si="8"/>
        <v>103.79285917780818</v>
      </c>
      <c r="L94" s="121">
        <f t="shared" si="8"/>
        <v>109.84965743930297</v>
      </c>
      <c r="M94" s="121">
        <f t="shared" si="8"/>
        <v>95.328884652049567</v>
      </c>
    </row>
    <row r="95" spans="1:16" ht="12.75">
      <c r="A95" s="113" t="s">
        <v>16</v>
      </c>
      <c r="B95" s="120" t="s">
        <v>15</v>
      </c>
      <c r="C95" s="115"/>
      <c r="D95" s="131"/>
      <c r="E95" s="131"/>
      <c r="F95" s="131"/>
      <c r="G95" s="117"/>
      <c r="H95" s="121">
        <v>106.8</v>
      </c>
      <c r="I95" s="121">
        <v>108.5</v>
      </c>
      <c r="J95" s="121">
        <v>105.7</v>
      </c>
      <c r="K95" s="121">
        <v>105.3</v>
      </c>
      <c r="L95" s="121">
        <v>104.9</v>
      </c>
      <c r="M95" s="121">
        <v>104.9</v>
      </c>
    </row>
    <row r="96" spans="1:16" ht="21">
      <c r="A96" s="136" t="s">
        <v>77</v>
      </c>
      <c r="B96" s="165" t="s">
        <v>49</v>
      </c>
      <c r="C96" s="115">
        <v>1</v>
      </c>
      <c r="D96" s="131"/>
      <c r="E96" s="131"/>
      <c r="F96" s="131"/>
      <c r="G96" s="117">
        <v>556.29999999999995</v>
      </c>
      <c r="H96" s="118">
        <v>37.64</v>
      </c>
      <c r="I96" s="118">
        <v>64.709999999999994</v>
      </c>
      <c r="J96" s="118">
        <v>1587.03</v>
      </c>
      <c r="K96" s="119">
        <v>37.64</v>
      </c>
      <c r="L96" s="119">
        <v>37.64</v>
      </c>
      <c r="M96" s="119">
        <v>37.64</v>
      </c>
      <c r="N96" s="137"/>
      <c r="O96" s="137"/>
      <c r="P96" s="137"/>
    </row>
    <row r="97" spans="1:14" ht="12.75">
      <c r="A97" s="136" t="s">
        <v>78</v>
      </c>
      <c r="B97" s="114"/>
      <c r="C97" s="115"/>
      <c r="D97" s="131"/>
      <c r="E97" s="131"/>
      <c r="F97" s="131"/>
      <c r="G97" s="117"/>
      <c r="H97" s="119"/>
      <c r="I97" s="119"/>
      <c r="J97" s="119"/>
      <c r="K97" s="119"/>
      <c r="L97" s="119"/>
      <c r="M97" s="119"/>
    </row>
    <row r="98" spans="1:14" ht="12.75">
      <c r="A98" s="166" t="s">
        <v>79</v>
      </c>
      <c r="B98" s="165" t="s">
        <v>49</v>
      </c>
      <c r="C98" s="115">
        <v>1</v>
      </c>
      <c r="D98" s="131"/>
      <c r="E98" s="131"/>
      <c r="F98" s="131"/>
      <c r="G98" s="117"/>
      <c r="H98" s="119"/>
      <c r="I98" s="119"/>
      <c r="J98" s="119"/>
      <c r="K98" s="119"/>
      <c r="L98" s="119"/>
      <c r="M98" s="119"/>
    </row>
    <row r="99" spans="1:14" ht="12.75">
      <c r="A99" s="166" t="s">
        <v>80</v>
      </c>
      <c r="B99" s="165" t="s">
        <v>49</v>
      </c>
      <c r="C99" s="115">
        <v>1</v>
      </c>
      <c r="D99" s="131"/>
      <c r="E99" s="131"/>
      <c r="F99" s="131"/>
      <c r="G99" s="117"/>
      <c r="H99" s="147"/>
      <c r="I99" s="147">
        <v>37.6</v>
      </c>
      <c r="J99" s="147">
        <v>38.700000000000003</v>
      </c>
      <c r="K99" s="119">
        <v>38.81</v>
      </c>
      <c r="L99" s="119">
        <v>39.5</v>
      </c>
      <c r="M99" s="119">
        <v>39.5</v>
      </c>
    </row>
    <row r="100" spans="1:14" ht="21">
      <c r="A100" s="136" t="s">
        <v>81</v>
      </c>
      <c r="B100" s="165" t="s">
        <v>49</v>
      </c>
      <c r="C100" s="115">
        <v>1</v>
      </c>
      <c r="D100" s="131"/>
      <c r="E100" s="131"/>
      <c r="F100" s="131"/>
      <c r="G100" s="117">
        <f>G102+G105+G111</f>
        <v>4569.4400000000005</v>
      </c>
      <c r="H100" s="147">
        <f t="shared" ref="H100:M100" si="9">H102+H105+H111+H112</f>
        <v>1698.6</v>
      </c>
      <c r="I100" s="147">
        <f t="shared" si="9"/>
        <v>2412.0600000000004</v>
      </c>
      <c r="J100" s="147">
        <f t="shared" si="9"/>
        <v>929</v>
      </c>
      <c r="K100" s="119">
        <f t="shared" si="9"/>
        <v>1759.7</v>
      </c>
      <c r="L100" s="119">
        <f t="shared" si="9"/>
        <v>1775.7</v>
      </c>
      <c r="M100" s="119">
        <f t="shared" si="9"/>
        <v>1775.7</v>
      </c>
      <c r="N100" s="167"/>
    </row>
    <row r="101" spans="1:14" ht="12.75">
      <c r="A101" s="136" t="s">
        <v>78</v>
      </c>
      <c r="B101" s="114"/>
      <c r="C101" s="115"/>
      <c r="D101" s="131"/>
      <c r="E101" s="131"/>
      <c r="F101" s="131"/>
      <c r="G101" s="117"/>
      <c r="H101" s="119"/>
      <c r="I101" s="119"/>
      <c r="J101" s="119"/>
      <c r="K101" s="119"/>
      <c r="L101" s="119"/>
      <c r="M101" s="119"/>
    </row>
    <row r="102" spans="1:14" ht="12.75">
      <c r="A102" s="166" t="s">
        <v>82</v>
      </c>
      <c r="B102" s="165" t="s">
        <v>49</v>
      </c>
      <c r="C102" s="115">
        <v>1</v>
      </c>
      <c r="D102" s="131"/>
      <c r="E102" s="131"/>
      <c r="F102" s="131"/>
      <c r="G102" s="117">
        <v>219.57</v>
      </c>
      <c r="H102" s="118">
        <v>34.173000000000002</v>
      </c>
      <c r="I102" s="118">
        <v>42.65</v>
      </c>
      <c r="J102" s="119"/>
      <c r="K102" s="119">
        <v>47</v>
      </c>
      <c r="L102" s="119">
        <v>47</v>
      </c>
      <c r="M102" s="119">
        <v>47</v>
      </c>
    </row>
    <row r="103" spans="1:14" ht="14.25" customHeight="1">
      <c r="A103" s="168" t="s">
        <v>83</v>
      </c>
      <c r="B103" s="165" t="s">
        <v>49</v>
      </c>
      <c r="C103" s="115">
        <v>1</v>
      </c>
      <c r="D103" s="131"/>
      <c r="E103" s="131"/>
      <c r="F103" s="131"/>
      <c r="G103" s="117"/>
      <c r="H103" s="119"/>
      <c r="I103" s="119"/>
      <c r="J103" s="119"/>
      <c r="K103" s="119"/>
      <c r="L103" s="119"/>
      <c r="M103" s="119"/>
    </row>
    <row r="104" spans="1:14" ht="12.75">
      <c r="A104" s="166" t="s">
        <v>84</v>
      </c>
      <c r="B104" s="165" t="s">
        <v>49</v>
      </c>
      <c r="C104" s="115">
        <v>1</v>
      </c>
      <c r="D104" s="131"/>
      <c r="E104" s="131"/>
      <c r="F104" s="131"/>
      <c r="G104" s="117"/>
      <c r="H104" s="119"/>
      <c r="I104" s="119"/>
      <c r="J104" s="119"/>
      <c r="K104" s="119"/>
      <c r="L104" s="119"/>
      <c r="M104" s="119"/>
    </row>
    <row r="105" spans="1:14" ht="12.75">
      <c r="A105" s="166" t="s">
        <v>85</v>
      </c>
      <c r="B105" s="165" t="s">
        <v>49</v>
      </c>
      <c r="C105" s="115">
        <v>1</v>
      </c>
      <c r="D105" s="131"/>
      <c r="E105" s="131"/>
      <c r="F105" s="131"/>
      <c r="G105" s="117">
        <f t="shared" ref="G105:M105" si="10">G107+G109+G110</f>
        <v>1543.18</v>
      </c>
      <c r="H105" s="118">
        <f t="shared" si="10"/>
        <v>1116.6869999999999</v>
      </c>
      <c r="I105" s="118">
        <v>1378.99</v>
      </c>
      <c r="J105" s="118">
        <v>215.03</v>
      </c>
      <c r="K105" s="119">
        <f t="shared" si="10"/>
        <v>1066</v>
      </c>
      <c r="L105" s="119">
        <f t="shared" si="10"/>
        <v>1082</v>
      </c>
      <c r="M105" s="119">
        <f t="shared" si="10"/>
        <v>1082</v>
      </c>
    </row>
    <row r="106" spans="1:14" ht="12.75">
      <c r="A106" s="166" t="s">
        <v>31</v>
      </c>
      <c r="B106" s="114"/>
      <c r="C106" s="115"/>
      <c r="D106" s="131"/>
      <c r="E106" s="131"/>
      <c r="F106" s="131"/>
      <c r="G106" s="117"/>
      <c r="H106" s="119"/>
      <c r="I106" s="119"/>
      <c r="J106" s="119"/>
      <c r="K106" s="119"/>
      <c r="L106" s="119"/>
      <c r="M106" s="119"/>
    </row>
    <row r="107" spans="1:14" ht="12.75">
      <c r="A107" s="168" t="s">
        <v>86</v>
      </c>
      <c r="B107" s="165" t="s">
        <v>49</v>
      </c>
      <c r="C107" s="115">
        <v>1</v>
      </c>
      <c r="D107" s="131"/>
      <c r="E107" s="131"/>
      <c r="F107" s="131"/>
      <c r="G107" s="117">
        <v>1443.8</v>
      </c>
      <c r="H107" s="118">
        <v>930.21699999999998</v>
      </c>
      <c r="I107" s="118">
        <v>1225.5999999999999</v>
      </c>
      <c r="J107" s="118">
        <v>81.16</v>
      </c>
      <c r="K107" s="119">
        <v>766</v>
      </c>
      <c r="L107" s="119">
        <v>780</v>
      </c>
      <c r="M107" s="119">
        <v>780</v>
      </c>
      <c r="N107" s="137"/>
    </row>
    <row r="108" spans="1:14" ht="21">
      <c r="A108" s="169" t="s">
        <v>87</v>
      </c>
      <c r="B108" s="165" t="s">
        <v>49</v>
      </c>
      <c r="C108" s="115">
        <v>1</v>
      </c>
      <c r="D108" s="131"/>
      <c r="E108" s="131"/>
      <c r="F108" s="131"/>
      <c r="G108" s="117"/>
      <c r="H108" s="119"/>
      <c r="I108" s="119"/>
      <c r="J108" s="119"/>
      <c r="K108" s="119"/>
      <c r="L108" s="119"/>
      <c r="M108" s="119"/>
      <c r="N108" s="137"/>
    </row>
    <row r="109" spans="1:14" ht="12.75">
      <c r="A109" s="168" t="s">
        <v>88</v>
      </c>
      <c r="B109" s="165" t="s">
        <v>49</v>
      </c>
      <c r="C109" s="115">
        <v>1</v>
      </c>
      <c r="D109" s="131"/>
      <c r="E109" s="131"/>
      <c r="F109" s="131"/>
      <c r="G109" s="117">
        <v>64.209999999999994</v>
      </c>
      <c r="H109" s="118">
        <v>182.47</v>
      </c>
      <c r="I109" s="118">
        <v>57.89</v>
      </c>
      <c r="J109" s="118">
        <v>99.73</v>
      </c>
      <c r="K109" s="119">
        <v>285</v>
      </c>
      <c r="L109" s="119">
        <v>289</v>
      </c>
      <c r="M109" s="119">
        <v>289</v>
      </c>
    </row>
    <row r="110" spans="1:14" ht="12.75">
      <c r="A110" s="166" t="s">
        <v>89</v>
      </c>
      <c r="B110" s="165" t="s">
        <v>49</v>
      </c>
      <c r="C110" s="115">
        <v>1</v>
      </c>
      <c r="D110" s="131"/>
      <c r="E110" s="131"/>
      <c r="F110" s="131"/>
      <c r="G110" s="117">
        <v>35.17</v>
      </c>
      <c r="H110" s="118">
        <v>4</v>
      </c>
      <c r="I110" s="118">
        <v>95.51</v>
      </c>
      <c r="J110" s="118">
        <v>34.15</v>
      </c>
      <c r="K110" s="119">
        <v>15</v>
      </c>
      <c r="L110" s="119">
        <v>13</v>
      </c>
      <c r="M110" s="119">
        <v>13</v>
      </c>
    </row>
    <row r="111" spans="1:14" ht="12.75">
      <c r="A111" s="166" t="s">
        <v>90</v>
      </c>
      <c r="B111" s="165" t="s">
        <v>49</v>
      </c>
      <c r="C111" s="115">
        <v>1</v>
      </c>
      <c r="D111" s="131"/>
      <c r="E111" s="131"/>
      <c r="F111" s="131"/>
      <c r="G111" s="117">
        <f>447.39+2359.3</f>
        <v>2806.69</v>
      </c>
      <c r="H111" s="118">
        <v>132.78</v>
      </c>
      <c r="I111" s="118">
        <v>461.87</v>
      </c>
      <c r="J111" s="118">
        <v>106.08</v>
      </c>
      <c r="K111" s="119">
        <v>137.69999999999999</v>
      </c>
      <c r="L111" s="119">
        <v>137.69999999999999</v>
      </c>
      <c r="M111" s="119">
        <v>137.69999999999999</v>
      </c>
    </row>
    <row r="112" spans="1:14" ht="12.75">
      <c r="A112" s="166" t="s">
        <v>91</v>
      </c>
      <c r="B112" s="165" t="s">
        <v>49</v>
      </c>
      <c r="C112" s="115">
        <v>1</v>
      </c>
      <c r="D112" s="131"/>
      <c r="E112" s="131"/>
      <c r="F112" s="131"/>
      <c r="G112" s="117"/>
      <c r="H112" s="118">
        <v>414.96</v>
      </c>
      <c r="I112" s="118">
        <v>528.54999999999995</v>
      </c>
      <c r="J112" s="118">
        <v>607.89</v>
      </c>
      <c r="K112" s="119">
        <f>'[1]Объем инвестиций'!$C$6/1000</f>
        <v>509</v>
      </c>
      <c r="L112" s="119">
        <f>'[1]Объем инвестиций'!$C$6/1000</f>
        <v>509</v>
      </c>
      <c r="M112" s="119">
        <f>'[1]Объем инвестиций'!$C$6/1000</f>
        <v>509</v>
      </c>
    </row>
    <row r="113" spans="1:16" ht="14.25">
      <c r="A113" s="124" t="s">
        <v>92</v>
      </c>
      <c r="B113" s="114"/>
      <c r="C113" s="115"/>
      <c r="D113" s="131"/>
      <c r="E113" s="131"/>
      <c r="F113" s="131"/>
      <c r="G113" s="117"/>
      <c r="H113" s="119"/>
      <c r="I113" s="119"/>
      <c r="J113" s="119"/>
      <c r="K113" s="119"/>
      <c r="L113" s="119"/>
      <c r="M113" s="119"/>
    </row>
    <row r="114" spans="1:16" ht="12.75">
      <c r="A114" s="113" t="s">
        <v>93</v>
      </c>
      <c r="B114" s="114" t="s">
        <v>94</v>
      </c>
      <c r="C114" s="115">
        <v>1</v>
      </c>
      <c r="D114" s="131"/>
      <c r="E114" s="131"/>
      <c r="F114" s="131"/>
      <c r="G114" s="117">
        <v>110</v>
      </c>
      <c r="H114" s="118">
        <v>178.2</v>
      </c>
      <c r="I114" s="118">
        <v>152.19999999999999</v>
      </c>
      <c r="J114" s="118">
        <v>184.5</v>
      </c>
      <c r="K114" s="119">
        <v>203</v>
      </c>
      <c r="L114" s="119">
        <v>203</v>
      </c>
      <c r="M114" s="119">
        <v>203</v>
      </c>
    </row>
    <row r="115" spans="1:16" ht="12.75">
      <c r="A115" s="113" t="s">
        <v>95</v>
      </c>
      <c r="B115" s="114" t="s">
        <v>94</v>
      </c>
      <c r="C115" s="115">
        <v>1</v>
      </c>
      <c r="D115" s="131"/>
      <c r="E115" s="131"/>
      <c r="F115" s="131"/>
      <c r="G115" s="117">
        <v>438</v>
      </c>
      <c r="H115" s="118">
        <v>972.9</v>
      </c>
      <c r="I115" s="118">
        <v>1669.2</v>
      </c>
      <c r="J115" s="118">
        <v>948.9</v>
      </c>
      <c r="K115" s="119">
        <v>1081</v>
      </c>
      <c r="L115" s="119">
        <v>1081</v>
      </c>
      <c r="M115" s="119">
        <v>1081</v>
      </c>
    </row>
    <row r="116" spans="1:16" ht="22.5">
      <c r="A116" s="113" t="s">
        <v>96</v>
      </c>
      <c r="B116" s="170" t="s">
        <v>97</v>
      </c>
      <c r="C116" s="115">
        <v>1</v>
      </c>
      <c r="D116" s="131"/>
      <c r="E116" s="131"/>
      <c r="F116" s="131"/>
      <c r="G116" s="117">
        <v>18.04</v>
      </c>
      <c r="H116" s="118">
        <v>20.6</v>
      </c>
      <c r="I116" s="118">
        <v>34.97</v>
      </c>
      <c r="J116" s="118">
        <v>23.9</v>
      </c>
      <c r="K116" s="119">
        <v>20.6</v>
      </c>
      <c r="L116" s="119">
        <v>20.6</v>
      </c>
      <c r="M116" s="119">
        <v>20.6</v>
      </c>
    </row>
    <row r="117" spans="1:16" ht="14.25">
      <c r="A117" s="171" t="s">
        <v>98</v>
      </c>
      <c r="B117" s="114"/>
      <c r="C117" s="115"/>
      <c r="D117" s="131"/>
      <c r="E117" s="131"/>
      <c r="F117" s="131"/>
      <c r="G117" s="117"/>
      <c r="H117" s="119"/>
      <c r="I117" s="119"/>
      <c r="J117" s="119"/>
      <c r="K117" s="119"/>
      <c r="L117" s="119"/>
      <c r="M117" s="119"/>
    </row>
    <row r="118" spans="1:16" ht="12.75">
      <c r="A118" s="172" t="s">
        <v>99</v>
      </c>
      <c r="B118" s="114" t="s">
        <v>94</v>
      </c>
      <c r="C118" s="115"/>
      <c r="D118" s="131"/>
      <c r="E118" s="131"/>
      <c r="F118" s="131"/>
      <c r="G118" s="117">
        <v>597.36099999999999</v>
      </c>
      <c r="H118" s="119">
        <f t="shared" ref="H118:M118" si="11">H119+H135+H140</f>
        <v>758.60540000000003</v>
      </c>
      <c r="I118" s="119">
        <f t="shared" si="11"/>
        <v>805.01209999999992</v>
      </c>
      <c r="J118" s="119">
        <f t="shared" si="11"/>
        <v>734.57249999999999</v>
      </c>
      <c r="K118" s="119">
        <f t="shared" si="11"/>
        <v>717.67</v>
      </c>
      <c r="L118" s="119">
        <f t="shared" si="11"/>
        <v>686.83999999999992</v>
      </c>
      <c r="M118" s="119">
        <f t="shared" si="11"/>
        <v>686.83999999999992</v>
      </c>
      <c r="N118" s="167">
        <f>I118-805.07</f>
        <v>-5.7900000000131513E-2</v>
      </c>
    </row>
    <row r="119" spans="1:16" ht="12.75">
      <c r="A119" s="113" t="s">
        <v>100</v>
      </c>
      <c r="B119" s="114" t="s">
        <v>94</v>
      </c>
      <c r="C119" s="115">
        <v>1</v>
      </c>
      <c r="D119" s="131"/>
      <c r="E119" s="131"/>
      <c r="F119" s="131"/>
      <c r="G119" s="117">
        <v>45.615000000000002</v>
      </c>
      <c r="H119" s="118">
        <f>H121+H122+H128+H134</f>
        <v>43.401000000000003</v>
      </c>
      <c r="I119" s="118">
        <f>I121+I122+I128+I134</f>
        <v>92.16</v>
      </c>
      <c r="J119" s="118">
        <v>85.512</v>
      </c>
      <c r="K119" s="119">
        <v>90.52</v>
      </c>
      <c r="L119" s="173">
        <v>90.52</v>
      </c>
      <c r="M119" s="173">
        <v>90.52</v>
      </c>
      <c r="N119" s="137">
        <f>I119-92.209</f>
        <v>-4.9000000000006594E-2</v>
      </c>
      <c r="O119" s="137"/>
      <c r="P119" s="167"/>
    </row>
    <row r="120" spans="1:16" ht="12.75">
      <c r="A120" s="113" t="s">
        <v>101</v>
      </c>
      <c r="B120" s="114" t="s">
        <v>94</v>
      </c>
      <c r="C120" s="115">
        <v>1</v>
      </c>
      <c r="D120" s="131"/>
      <c r="E120" s="131"/>
      <c r="F120" s="131"/>
      <c r="G120" s="117">
        <v>26.427</v>
      </c>
      <c r="H120" s="119"/>
      <c r="I120" s="119"/>
      <c r="J120" s="173"/>
      <c r="K120" s="173"/>
      <c r="L120" s="173"/>
      <c r="M120" s="173"/>
    </row>
    <row r="121" spans="1:16" ht="12.75">
      <c r="A121" s="113" t="s">
        <v>102</v>
      </c>
      <c r="B121" s="114" t="s">
        <v>94</v>
      </c>
      <c r="C121" s="115">
        <v>1</v>
      </c>
      <c r="D121" s="131"/>
      <c r="E121" s="131"/>
      <c r="F121" s="131"/>
      <c r="G121" s="117">
        <v>26.427</v>
      </c>
      <c r="H121" s="118">
        <v>30.425999999999998</v>
      </c>
      <c r="I121" s="118">
        <v>54.1</v>
      </c>
      <c r="J121" s="174">
        <v>49.85</v>
      </c>
      <c r="K121" s="173">
        <v>53</v>
      </c>
      <c r="L121" s="173"/>
      <c r="M121" s="173"/>
    </row>
    <row r="122" spans="1:16" ht="12.75">
      <c r="A122" s="113" t="s">
        <v>103</v>
      </c>
      <c r="B122" s="114" t="s">
        <v>94</v>
      </c>
      <c r="C122" s="115">
        <v>1</v>
      </c>
      <c r="D122" s="131"/>
      <c r="E122" s="131"/>
      <c r="F122" s="131"/>
      <c r="G122" s="117">
        <v>7.6130000000000004</v>
      </c>
      <c r="H122" s="118">
        <f>H123+H125</f>
        <v>10.61</v>
      </c>
      <c r="I122" s="118">
        <v>14.65</v>
      </c>
      <c r="J122" s="118">
        <v>14.29</v>
      </c>
      <c r="K122" s="119">
        <f>K123+K125</f>
        <v>14.8</v>
      </c>
      <c r="L122" s="119">
        <f>L123+L125</f>
        <v>14.8</v>
      </c>
      <c r="M122" s="119">
        <f>M123+M125</f>
        <v>14.8</v>
      </c>
      <c r="N122" s="167"/>
    </row>
    <row r="123" spans="1:16" ht="12.75">
      <c r="A123" s="113" t="s">
        <v>104</v>
      </c>
      <c r="B123" s="114" t="s">
        <v>94</v>
      </c>
      <c r="C123" s="115"/>
      <c r="D123" s="131"/>
      <c r="E123" s="131"/>
      <c r="F123" s="131"/>
      <c r="G123" s="117">
        <v>1.7030000000000001</v>
      </c>
      <c r="H123" s="118">
        <v>3.85</v>
      </c>
      <c r="I123" s="118">
        <v>4.17</v>
      </c>
      <c r="J123" s="174">
        <v>5.01</v>
      </c>
      <c r="K123" s="173">
        <v>4.3</v>
      </c>
      <c r="L123" s="173">
        <v>4.3</v>
      </c>
      <c r="M123" s="173">
        <v>4.3</v>
      </c>
    </row>
    <row r="124" spans="1:16" ht="12.75">
      <c r="A124" s="113" t="s">
        <v>105</v>
      </c>
      <c r="B124" s="114" t="s">
        <v>94</v>
      </c>
      <c r="C124" s="115">
        <v>1</v>
      </c>
      <c r="D124" s="131"/>
      <c r="E124" s="131"/>
      <c r="F124" s="131"/>
      <c r="G124" s="117">
        <v>1.01</v>
      </c>
      <c r="H124" s="119"/>
      <c r="I124" s="119"/>
      <c r="J124" s="173"/>
      <c r="K124" s="173"/>
      <c r="L124" s="173"/>
      <c r="M124" s="173"/>
    </row>
    <row r="125" spans="1:16" ht="12.75">
      <c r="A125" s="113" t="s">
        <v>106</v>
      </c>
      <c r="B125" s="114" t="s">
        <v>94</v>
      </c>
      <c r="C125" s="115"/>
      <c r="D125" s="131"/>
      <c r="E125" s="131"/>
      <c r="F125" s="131"/>
      <c r="G125" s="117">
        <v>4.9000000000000004</v>
      </c>
      <c r="H125" s="118">
        <v>6.76</v>
      </c>
      <c r="I125" s="118">
        <v>10.48</v>
      </c>
      <c r="J125" s="174">
        <v>9.2799999999999994</v>
      </c>
      <c r="K125" s="173">
        <v>10.5</v>
      </c>
      <c r="L125" s="173">
        <v>10.5</v>
      </c>
      <c r="M125" s="173">
        <v>10.5</v>
      </c>
    </row>
    <row r="126" spans="1:16" ht="21">
      <c r="A126" s="113" t="s">
        <v>107</v>
      </c>
      <c r="B126" s="114" t="s">
        <v>94</v>
      </c>
      <c r="C126" s="115">
        <v>1</v>
      </c>
      <c r="D126" s="131"/>
      <c r="E126" s="131"/>
      <c r="F126" s="131"/>
      <c r="G126" s="117"/>
      <c r="H126" s="119"/>
      <c r="I126" s="119"/>
      <c r="J126" s="173"/>
      <c r="K126" s="173"/>
      <c r="L126" s="173"/>
      <c r="M126" s="173"/>
    </row>
    <row r="127" spans="1:16" ht="21">
      <c r="A127" s="113" t="s">
        <v>108</v>
      </c>
      <c r="B127" s="114" t="s">
        <v>94</v>
      </c>
      <c r="C127" s="115">
        <v>1</v>
      </c>
      <c r="D127" s="131"/>
      <c r="E127" s="131"/>
      <c r="F127" s="131"/>
      <c r="G127" s="117"/>
      <c r="H127" s="147"/>
      <c r="I127" s="147">
        <v>19</v>
      </c>
      <c r="J127" s="175">
        <v>25.32</v>
      </c>
      <c r="K127" s="173">
        <v>25.3</v>
      </c>
      <c r="L127" s="173">
        <v>25.3</v>
      </c>
      <c r="M127" s="173">
        <v>25.3</v>
      </c>
    </row>
    <row r="128" spans="1:16" ht="12.75">
      <c r="A128" s="113" t="s">
        <v>109</v>
      </c>
      <c r="B128" s="114" t="s">
        <v>94</v>
      </c>
      <c r="C128" s="115">
        <v>1</v>
      </c>
      <c r="D128" s="131"/>
      <c r="E128" s="131"/>
      <c r="F128" s="131"/>
      <c r="G128" s="117">
        <v>7.032</v>
      </c>
      <c r="H128" s="118">
        <f>H129+H131</f>
        <v>1.7430000000000001</v>
      </c>
      <c r="I128" s="118">
        <f>I129+I131</f>
        <v>2.3199999999999998</v>
      </c>
      <c r="J128" s="118">
        <f>J129+J131</f>
        <v>3.36</v>
      </c>
      <c r="K128" s="119">
        <v>3.5</v>
      </c>
      <c r="L128" s="173">
        <v>3.5</v>
      </c>
      <c r="M128" s="173">
        <v>3.5</v>
      </c>
    </row>
    <row r="129" spans="1:15" ht="21">
      <c r="A129" s="113" t="s">
        <v>110</v>
      </c>
      <c r="B129" s="114" t="s">
        <v>94</v>
      </c>
      <c r="C129" s="115">
        <v>1</v>
      </c>
      <c r="D129" s="131"/>
      <c r="E129" s="131"/>
      <c r="F129" s="131"/>
      <c r="G129" s="117">
        <v>1.6759999999999999</v>
      </c>
      <c r="H129" s="118">
        <v>1.4470000000000001</v>
      </c>
      <c r="I129" s="118">
        <v>1.99</v>
      </c>
      <c r="J129" s="174">
        <v>2.88</v>
      </c>
      <c r="K129" s="173"/>
      <c r="L129" s="173"/>
      <c r="M129" s="173"/>
    </row>
    <row r="130" spans="1:15" ht="21">
      <c r="A130" s="113" t="s">
        <v>111</v>
      </c>
      <c r="B130" s="114" t="s">
        <v>94</v>
      </c>
      <c r="C130" s="115">
        <v>1</v>
      </c>
      <c r="D130" s="131"/>
      <c r="E130" s="131"/>
      <c r="F130" s="131"/>
      <c r="G130" s="117">
        <v>4.2990000000000004</v>
      </c>
      <c r="H130" s="119"/>
      <c r="I130" s="119"/>
      <c r="J130" s="173"/>
      <c r="K130" s="173"/>
      <c r="L130" s="173"/>
      <c r="M130" s="173"/>
    </row>
    <row r="131" spans="1:15" ht="12.75">
      <c r="A131" s="113" t="s">
        <v>112</v>
      </c>
      <c r="B131" s="114" t="s">
        <v>94</v>
      </c>
      <c r="C131" s="115"/>
      <c r="D131" s="131"/>
      <c r="E131" s="131"/>
      <c r="F131" s="131"/>
      <c r="G131" s="117">
        <v>1.0569999999999999</v>
      </c>
      <c r="H131" s="118">
        <v>0.29599999999999999</v>
      </c>
      <c r="I131" s="118">
        <v>0.33</v>
      </c>
      <c r="J131" s="174">
        <v>0.48</v>
      </c>
      <c r="K131" s="173">
        <v>0.2</v>
      </c>
      <c r="L131" s="173">
        <v>0.2</v>
      </c>
      <c r="M131" s="173">
        <v>0.2</v>
      </c>
      <c r="O131" s="167"/>
    </row>
    <row r="132" spans="1:15" ht="21">
      <c r="A132" s="113" t="s">
        <v>113</v>
      </c>
      <c r="B132" s="114" t="s">
        <v>94</v>
      </c>
      <c r="C132" s="115">
        <v>1</v>
      </c>
      <c r="D132" s="131"/>
      <c r="E132" s="131"/>
      <c r="F132" s="131"/>
      <c r="G132" s="117">
        <v>0.124</v>
      </c>
      <c r="H132" s="119"/>
      <c r="I132" s="119"/>
      <c r="J132" s="173"/>
      <c r="K132" s="173"/>
      <c r="L132" s="173"/>
      <c r="M132" s="173"/>
    </row>
    <row r="133" spans="1:15" ht="12.75">
      <c r="A133" s="113" t="s">
        <v>114</v>
      </c>
      <c r="B133" s="114" t="s">
        <v>94</v>
      </c>
      <c r="C133" s="115">
        <v>1</v>
      </c>
      <c r="D133" s="131"/>
      <c r="E133" s="131"/>
      <c r="F133" s="131"/>
      <c r="G133" s="117"/>
      <c r="H133" s="119"/>
      <c r="I133" s="119"/>
      <c r="J133" s="173"/>
      <c r="K133" s="173"/>
      <c r="L133" s="173"/>
      <c r="M133" s="173"/>
    </row>
    <row r="134" spans="1:15" ht="12.75">
      <c r="A134" s="113" t="s">
        <v>115</v>
      </c>
      <c r="B134" s="114" t="s">
        <v>94</v>
      </c>
      <c r="C134" s="115">
        <v>1</v>
      </c>
      <c r="D134" s="131"/>
      <c r="E134" s="131"/>
      <c r="F134" s="131"/>
      <c r="G134" s="117">
        <v>4.4189999999999996</v>
      </c>
      <c r="H134" s="118">
        <v>0.622</v>
      </c>
      <c r="I134" s="118">
        <v>21.09</v>
      </c>
      <c r="J134" s="174">
        <v>18</v>
      </c>
      <c r="K134" s="173"/>
      <c r="L134" s="173">
        <f>90.22-78.17</f>
        <v>12.049999999999997</v>
      </c>
      <c r="M134" s="173">
        <f>90.22-78.17</f>
        <v>12.049999999999997</v>
      </c>
      <c r="N134" s="167"/>
    </row>
    <row r="135" spans="1:15" ht="12.75">
      <c r="A135" s="172" t="s">
        <v>116</v>
      </c>
      <c r="B135" s="114" t="s">
        <v>94</v>
      </c>
      <c r="C135" s="115">
        <v>1</v>
      </c>
      <c r="D135" s="131"/>
      <c r="E135" s="131"/>
      <c r="F135" s="131"/>
      <c r="G135" s="117">
        <v>8.8320000000000007</v>
      </c>
      <c r="H135" s="118">
        <f>H136+H138+H139</f>
        <v>21.402699999999999</v>
      </c>
      <c r="I135" s="118">
        <f>I136+I138+I139</f>
        <v>18.6921</v>
      </c>
      <c r="J135" s="174">
        <f>J136+J139</f>
        <v>15.665500000000002</v>
      </c>
      <c r="K135" s="173"/>
      <c r="L135" s="173"/>
      <c r="M135" s="173"/>
      <c r="N135" s="167"/>
      <c r="O135" s="137"/>
    </row>
    <row r="136" spans="1:15" ht="21">
      <c r="A136" s="113" t="s">
        <v>117</v>
      </c>
      <c r="B136" s="114" t="s">
        <v>94</v>
      </c>
      <c r="C136" s="115">
        <v>1</v>
      </c>
      <c r="D136" s="131"/>
      <c r="E136" s="131"/>
      <c r="F136" s="131"/>
      <c r="G136" s="117">
        <v>2.8450000000000002</v>
      </c>
      <c r="H136" s="118">
        <v>6.4660000000000002</v>
      </c>
      <c r="I136" s="118">
        <v>7.16</v>
      </c>
      <c r="J136" s="174">
        <v>5.79</v>
      </c>
      <c r="K136" s="173"/>
      <c r="L136" s="173"/>
      <c r="M136" s="173"/>
    </row>
    <row r="137" spans="1:15" ht="12.75">
      <c r="A137" s="113" t="s">
        <v>118</v>
      </c>
      <c r="B137" s="114" t="s">
        <v>94</v>
      </c>
      <c r="C137" s="115">
        <v>1</v>
      </c>
      <c r="D137" s="131"/>
      <c r="E137" s="131"/>
      <c r="F137" s="131"/>
      <c r="G137" s="117">
        <v>2.8450000000000002</v>
      </c>
      <c r="H137" s="118">
        <v>6.4660000000000002</v>
      </c>
      <c r="I137" s="118">
        <v>7.16</v>
      </c>
      <c r="J137" s="174">
        <v>5.79</v>
      </c>
      <c r="K137" s="173"/>
      <c r="L137" s="173"/>
      <c r="M137" s="173"/>
    </row>
    <row r="138" spans="1:15" ht="21">
      <c r="A138" s="113" t="s">
        <v>119</v>
      </c>
      <c r="B138" s="114" t="s">
        <v>94</v>
      </c>
      <c r="C138" s="115">
        <v>1</v>
      </c>
      <c r="D138" s="131"/>
      <c r="E138" s="131"/>
      <c r="F138" s="131"/>
      <c r="G138" s="117">
        <v>0.29599999999999999</v>
      </c>
      <c r="H138" s="118">
        <f>9.7/1000</f>
        <v>9.6999999999999986E-3</v>
      </c>
      <c r="I138" s="118">
        <v>2.0999999999999999E-3</v>
      </c>
      <c r="J138" s="174"/>
      <c r="K138" s="173"/>
      <c r="L138" s="173"/>
      <c r="M138" s="173"/>
    </row>
    <row r="139" spans="1:15" ht="12.75">
      <c r="A139" s="113" t="s">
        <v>120</v>
      </c>
      <c r="B139" s="114" t="s">
        <v>94</v>
      </c>
      <c r="C139" s="115">
        <v>1</v>
      </c>
      <c r="D139" s="131"/>
      <c r="E139" s="131"/>
      <c r="F139" s="131"/>
      <c r="G139" s="117">
        <v>50.691000000000003</v>
      </c>
      <c r="H139" s="118">
        <v>14.927</v>
      </c>
      <c r="I139" s="118">
        <v>11.53</v>
      </c>
      <c r="J139" s="174">
        <v>9.8755000000000006</v>
      </c>
      <c r="K139" s="173"/>
      <c r="L139" s="173"/>
      <c r="M139" s="173"/>
    </row>
    <row r="140" spans="1:15" ht="12.75">
      <c r="A140" s="172" t="s">
        <v>121</v>
      </c>
      <c r="B140" s="114" t="s">
        <v>94</v>
      </c>
      <c r="C140" s="115">
        <v>1</v>
      </c>
      <c r="D140" s="131"/>
      <c r="E140" s="131"/>
      <c r="F140" s="131"/>
      <c r="G140" s="117">
        <v>542.91399999999999</v>
      </c>
      <c r="H140" s="118">
        <f>H141+H142+H143+H144+H145</f>
        <v>693.80169999999998</v>
      </c>
      <c r="I140" s="118">
        <f>I141+I142+I143+I144+I145</f>
        <v>694.16</v>
      </c>
      <c r="J140" s="118">
        <f>J141+J142+J143+J144+J145</f>
        <v>633.39499999999998</v>
      </c>
      <c r="K140" s="119">
        <f>K141+K142+K144+K145+K143</f>
        <v>627.15</v>
      </c>
      <c r="L140" s="119">
        <f>L141+L142+L144+L145+L143</f>
        <v>596.31999999999994</v>
      </c>
      <c r="M140" s="119">
        <f>M141+M142+M144+M145+M143</f>
        <v>596.31999999999994</v>
      </c>
      <c r="N140" s="167"/>
      <c r="O140" s="167"/>
    </row>
    <row r="141" spans="1:15" ht="31.5" customHeight="1">
      <c r="A141" s="113" t="s">
        <v>122</v>
      </c>
      <c r="B141" s="114" t="s">
        <v>94</v>
      </c>
      <c r="C141" s="115">
        <v>1</v>
      </c>
      <c r="D141" s="131"/>
      <c r="E141" s="131"/>
      <c r="F141" s="131"/>
      <c r="G141" s="117">
        <v>154.71600000000001</v>
      </c>
      <c r="H141" s="118">
        <v>133.976</v>
      </c>
      <c r="I141" s="118">
        <v>79.61</v>
      </c>
      <c r="J141" s="174">
        <v>94.53</v>
      </c>
      <c r="K141" s="173">
        <v>101.48699999999999</v>
      </c>
      <c r="L141" s="173">
        <v>101.48699999999999</v>
      </c>
      <c r="M141" s="173">
        <v>101.48699999999999</v>
      </c>
    </row>
    <row r="142" spans="1:15" ht="12.75">
      <c r="A142" s="113" t="s">
        <v>123</v>
      </c>
      <c r="B142" s="114" t="s">
        <v>94</v>
      </c>
      <c r="C142" s="115">
        <v>1</v>
      </c>
      <c r="D142" s="131"/>
      <c r="E142" s="131"/>
      <c r="F142" s="131"/>
      <c r="G142" s="117">
        <v>305.596</v>
      </c>
      <c r="H142" s="118">
        <v>452.17700000000002</v>
      </c>
      <c r="I142" s="118">
        <v>523.63</v>
      </c>
      <c r="J142" s="174">
        <v>452.41</v>
      </c>
      <c r="K142" s="173">
        <v>514.20000000000005</v>
      </c>
      <c r="L142" s="173">
        <v>483.37</v>
      </c>
      <c r="M142" s="173">
        <v>483.37</v>
      </c>
    </row>
    <row r="143" spans="1:15" ht="31.5">
      <c r="A143" s="113" t="s">
        <v>124</v>
      </c>
      <c r="B143" s="114" t="s">
        <v>94</v>
      </c>
      <c r="C143" s="115">
        <v>1</v>
      </c>
      <c r="D143" s="131"/>
      <c r="E143" s="131"/>
      <c r="F143" s="131"/>
      <c r="G143" s="117">
        <v>55.786999999999999</v>
      </c>
      <c r="H143" s="118">
        <v>92.631</v>
      </c>
      <c r="I143" s="118">
        <v>26.17</v>
      </c>
      <c r="J143" s="174">
        <v>35</v>
      </c>
      <c r="K143" s="173"/>
      <c r="L143" s="173"/>
      <c r="M143" s="173"/>
    </row>
    <row r="144" spans="1:15" ht="12.75">
      <c r="A144" s="113" t="s">
        <v>125</v>
      </c>
      <c r="B144" s="114" t="s">
        <v>94</v>
      </c>
      <c r="C144" s="115">
        <v>1</v>
      </c>
      <c r="D144" s="131"/>
      <c r="E144" s="131"/>
      <c r="F144" s="131"/>
      <c r="G144" s="117">
        <v>17.294</v>
      </c>
      <c r="H144" s="118">
        <v>15.081</v>
      </c>
      <c r="I144" s="118">
        <v>69.3</v>
      </c>
      <c r="J144" s="174">
        <v>53.424999999999997</v>
      </c>
      <c r="K144" s="173">
        <v>11.462999999999999</v>
      </c>
      <c r="L144" s="173">
        <v>11.462999999999999</v>
      </c>
      <c r="M144" s="173">
        <v>11.462999999999999</v>
      </c>
    </row>
    <row r="145" spans="1:16" ht="12.75">
      <c r="A145" s="113" t="s">
        <v>126</v>
      </c>
      <c r="B145" s="114" t="s">
        <v>94</v>
      </c>
      <c r="C145" s="115"/>
      <c r="D145" s="131"/>
      <c r="E145" s="131"/>
      <c r="F145" s="131"/>
      <c r="G145" s="117">
        <v>549</v>
      </c>
      <c r="H145" s="162">
        <f>-63.3/1000</f>
        <v>-6.3299999999999995E-2</v>
      </c>
      <c r="I145" s="162">
        <v>-4.55</v>
      </c>
      <c r="J145" s="176">
        <v>-1.97</v>
      </c>
      <c r="K145" s="173"/>
      <c r="L145" s="173"/>
      <c r="M145" s="173"/>
    </row>
    <row r="146" spans="1:16" ht="12.75">
      <c r="A146" s="172" t="s">
        <v>127</v>
      </c>
      <c r="B146" s="114" t="s">
        <v>94</v>
      </c>
      <c r="C146" s="115">
        <v>1</v>
      </c>
      <c r="D146" s="131"/>
      <c r="E146" s="131"/>
      <c r="F146" s="131"/>
      <c r="G146" s="117">
        <v>584.072</v>
      </c>
      <c r="H146" s="118">
        <f>H147+H151+H156+H158+H159+H160+H161+H167</f>
        <v>702.48799999999994</v>
      </c>
      <c r="I146" s="118">
        <f>I147+I151+I156+I158+I159+I160+I161+I167</f>
        <v>862.27700000000004</v>
      </c>
      <c r="J146" s="118">
        <f>J147+J151+J156+J158+J159+J160+J161+J167+J166</f>
        <v>783.404</v>
      </c>
      <c r="K146" s="173">
        <f>K147+K151+K156+K158+K159+K160+K161+K167+K166</f>
        <v>717.72900000000016</v>
      </c>
      <c r="L146" s="173">
        <f>L147+L151+L156+L158+L159+L160+L161+L167+L166</f>
        <v>686.84300000000007</v>
      </c>
      <c r="M146" s="173">
        <f>M147+M151+M156+M158+M159+M160+M161+M167+M166</f>
        <v>686.84300000000007</v>
      </c>
      <c r="N146" s="167"/>
      <c r="O146" s="167"/>
      <c r="P146" s="167"/>
    </row>
    <row r="147" spans="1:16" ht="12.75">
      <c r="A147" s="113" t="s">
        <v>128</v>
      </c>
      <c r="B147" s="114" t="s">
        <v>94</v>
      </c>
      <c r="C147" s="115"/>
      <c r="D147" s="131"/>
      <c r="E147" s="131"/>
      <c r="F147" s="131"/>
      <c r="G147" s="117">
        <v>54.616</v>
      </c>
      <c r="H147" s="118">
        <v>66.628</v>
      </c>
      <c r="I147" s="118">
        <v>76.239999999999995</v>
      </c>
      <c r="J147" s="118">
        <v>80.739999999999995</v>
      </c>
      <c r="K147" s="173">
        <v>28.81</v>
      </c>
      <c r="L147" s="173">
        <v>28.81</v>
      </c>
      <c r="M147" s="173">
        <v>28.81</v>
      </c>
      <c r="N147" s="167"/>
      <c r="O147" s="167"/>
      <c r="P147" s="167"/>
    </row>
    <row r="148" spans="1:16" ht="21">
      <c r="A148" s="113" t="s">
        <v>129</v>
      </c>
      <c r="B148" s="114" t="s">
        <v>94</v>
      </c>
      <c r="C148" s="115">
        <v>1</v>
      </c>
      <c r="D148" s="131"/>
      <c r="E148" s="131"/>
      <c r="F148" s="131"/>
      <c r="G148" s="117">
        <v>1.446</v>
      </c>
      <c r="H148" s="118">
        <v>1.7709999999999999</v>
      </c>
      <c r="I148" s="118">
        <v>1.65</v>
      </c>
      <c r="J148" s="118">
        <v>1.3492999999999999</v>
      </c>
      <c r="K148" s="173">
        <v>1</v>
      </c>
      <c r="L148" s="173">
        <v>1.7490000000000001</v>
      </c>
      <c r="M148" s="173">
        <v>1.7490000000000001</v>
      </c>
      <c r="N148" s="137"/>
      <c r="O148" s="167"/>
    </row>
    <row r="149" spans="1:16" ht="12.75">
      <c r="A149" s="113" t="s">
        <v>130</v>
      </c>
      <c r="B149" s="114" t="s">
        <v>94</v>
      </c>
      <c r="C149" s="115">
        <v>1</v>
      </c>
      <c r="D149" s="131"/>
      <c r="E149" s="131"/>
      <c r="F149" s="131"/>
      <c r="G149" s="117">
        <v>34.590000000000003</v>
      </c>
      <c r="H149" s="118">
        <v>41.92</v>
      </c>
      <c r="I149" s="118">
        <v>48.17</v>
      </c>
      <c r="J149" s="118">
        <v>42.49</v>
      </c>
      <c r="K149" s="173">
        <v>1.24</v>
      </c>
      <c r="L149" s="173">
        <v>1.24</v>
      </c>
      <c r="M149" s="173">
        <v>1.24</v>
      </c>
      <c r="N149" s="167"/>
    </row>
    <row r="150" spans="1:16" ht="12.75">
      <c r="A150" s="113" t="s">
        <v>131</v>
      </c>
      <c r="B150" s="114" t="s">
        <v>94</v>
      </c>
      <c r="C150" s="115"/>
      <c r="D150" s="131"/>
      <c r="E150" s="131"/>
      <c r="F150" s="131"/>
      <c r="G150" s="117">
        <v>0</v>
      </c>
      <c r="H150" s="119"/>
      <c r="I150" s="119"/>
      <c r="J150" s="119"/>
      <c r="K150" s="173"/>
      <c r="L150" s="173"/>
      <c r="M150" s="173"/>
    </row>
    <row r="151" spans="1:16" ht="12.75">
      <c r="A151" s="113" t="s">
        <v>132</v>
      </c>
      <c r="B151" s="114" t="s">
        <v>94</v>
      </c>
      <c r="C151" s="115">
        <v>1</v>
      </c>
      <c r="D151" s="131"/>
      <c r="E151" s="131"/>
      <c r="F151" s="131"/>
      <c r="G151" s="117">
        <v>10.532999999999999</v>
      </c>
      <c r="H151" s="118">
        <f>H153+H155</f>
        <v>10.872</v>
      </c>
      <c r="I151" s="118">
        <v>14.65</v>
      </c>
      <c r="J151" s="118">
        <v>41.39</v>
      </c>
      <c r="K151" s="173">
        <f>27.799+K155</f>
        <v>32.918999999999997</v>
      </c>
      <c r="L151" s="173">
        <f>27.799+L155</f>
        <v>33.04</v>
      </c>
      <c r="M151" s="173">
        <f>27.799+M155</f>
        <v>33.04</v>
      </c>
    </row>
    <row r="152" spans="1:16" ht="12.75">
      <c r="A152" s="113" t="s">
        <v>133</v>
      </c>
      <c r="B152" s="114" t="s">
        <v>94</v>
      </c>
      <c r="C152" s="115">
        <v>1</v>
      </c>
      <c r="D152" s="131"/>
      <c r="E152" s="131"/>
      <c r="F152" s="131"/>
      <c r="G152" s="117"/>
      <c r="H152" s="119"/>
      <c r="I152" s="119"/>
      <c r="J152" s="119"/>
      <c r="K152" s="173"/>
      <c r="L152" s="173"/>
      <c r="M152" s="173"/>
    </row>
    <row r="153" spans="1:16" ht="12.75">
      <c r="A153" s="113" t="s">
        <v>134</v>
      </c>
      <c r="B153" s="114" t="s">
        <v>94</v>
      </c>
      <c r="C153" s="115">
        <v>1</v>
      </c>
      <c r="D153" s="131"/>
      <c r="E153" s="131"/>
      <c r="F153" s="131"/>
      <c r="G153" s="117">
        <v>10.532999999999999</v>
      </c>
      <c r="H153" s="118">
        <v>3.8370000000000002</v>
      </c>
      <c r="I153" s="118">
        <v>2.6739999999999999</v>
      </c>
      <c r="J153" s="118">
        <v>2.4500000000000002</v>
      </c>
      <c r="K153" s="173">
        <v>2.4790000000000001</v>
      </c>
      <c r="L153" s="173">
        <v>2.4790000000000001</v>
      </c>
      <c r="M153" s="173">
        <v>2.4790000000000001</v>
      </c>
    </row>
    <row r="154" spans="1:16" ht="12.75">
      <c r="A154" s="113" t="s">
        <v>135</v>
      </c>
      <c r="B154" s="114" t="s">
        <v>94</v>
      </c>
      <c r="C154" s="115">
        <v>1</v>
      </c>
      <c r="D154" s="131"/>
      <c r="E154" s="131"/>
      <c r="F154" s="131"/>
      <c r="G154" s="117"/>
      <c r="H154" s="119"/>
      <c r="I154" s="119"/>
      <c r="J154" s="119"/>
      <c r="K154" s="173">
        <v>25.32</v>
      </c>
      <c r="L154" s="173">
        <v>25.32</v>
      </c>
      <c r="M154" s="173">
        <v>25.32</v>
      </c>
    </row>
    <row r="155" spans="1:16" ht="12.75">
      <c r="A155" s="113" t="s">
        <v>136</v>
      </c>
      <c r="B155" s="114" t="s">
        <v>94</v>
      </c>
      <c r="C155" s="115">
        <v>1</v>
      </c>
      <c r="D155" s="131"/>
      <c r="E155" s="131"/>
      <c r="F155" s="131"/>
      <c r="G155" s="117"/>
      <c r="H155" s="118">
        <v>7.0350000000000001</v>
      </c>
      <c r="I155" s="118">
        <v>11.975</v>
      </c>
      <c r="J155" s="118">
        <v>38.94</v>
      </c>
      <c r="K155" s="173">
        <v>5.12</v>
      </c>
      <c r="L155" s="173">
        <f>1.56+3.681</f>
        <v>5.2409999999999997</v>
      </c>
      <c r="M155" s="173">
        <f>1.56+3.681</f>
        <v>5.2409999999999997</v>
      </c>
    </row>
    <row r="156" spans="1:16" ht="12.75">
      <c r="A156" s="113" t="s">
        <v>137</v>
      </c>
      <c r="B156" s="114" t="s">
        <v>94</v>
      </c>
      <c r="C156" s="115">
        <v>1</v>
      </c>
      <c r="D156" s="131"/>
      <c r="E156" s="131"/>
      <c r="F156" s="131"/>
      <c r="G156" s="117">
        <v>18.646999999999998</v>
      </c>
      <c r="H156" s="118">
        <v>32.148000000000003</v>
      </c>
      <c r="I156" s="118">
        <v>26.481000000000002</v>
      </c>
      <c r="J156" s="118">
        <v>16.829999999999998</v>
      </c>
      <c r="K156" s="173">
        <v>5.17</v>
      </c>
      <c r="L156" s="173">
        <v>5.17</v>
      </c>
      <c r="M156" s="173">
        <v>5.17</v>
      </c>
      <c r="N156" s="167"/>
    </row>
    <row r="157" spans="1:16" ht="12.75">
      <c r="A157" s="113" t="s">
        <v>138</v>
      </c>
      <c r="B157" s="114" t="s">
        <v>94</v>
      </c>
      <c r="C157" s="115">
        <v>1</v>
      </c>
      <c r="D157" s="131"/>
      <c r="E157" s="131"/>
      <c r="F157" s="131"/>
      <c r="G157" s="117"/>
      <c r="H157" s="119"/>
      <c r="I157" s="119"/>
      <c r="J157" s="119"/>
      <c r="K157" s="173"/>
      <c r="L157" s="173"/>
      <c r="M157" s="173"/>
    </row>
    <row r="158" spans="1:16" ht="12.75">
      <c r="A158" s="113" t="s">
        <v>139</v>
      </c>
      <c r="B158" s="114" t="s">
        <v>94</v>
      </c>
      <c r="C158" s="115">
        <v>1</v>
      </c>
      <c r="D158" s="131"/>
      <c r="E158" s="131"/>
      <c r="F158" s="131"/>
      <c r="G158" s="117">
        <v>368.57799999999997</v>
      </c>
      <c r="H158" s="118">
        <v>519.75699999999995</v>
      </c>
      <c r="I158" s="118">
        <v>631.20000000000005</v>
      </c>
      <c r="J158" s="118">
        <v>520.28</v>
      </c>
      <c r="K158" s="173">
        <v>547.63</v>
      </c>
      <c r="L158" s="173">
        <v>547.63</v>
      </c>
      <c r="M158" s="173">
        <v>547.63</v>
      </c>
      <c r="N158" s="167"/>
    </row>
    <row r="159" spans="1:16" ht="21">
      <c r="A159" s="113" t="s">
        <v>140</v>
      </c>
      <c r="B159" s="114" t="s">
        <v>94</v>
      </c>
      <c r="C159" s="115">
        <v>1</v>
      </c>
      <c r="D159" s="131"/>
      <c r="E159" s="131"/>
      <c r="F159" s="131"/>
      <c r="G159" s="117">
        <v>8.9909999999999997</v>
      </c>
      <c r="H159" s="118">
        <v>12.006</v>
      </c>
      <c r="I159" s="118">
        <v>14.66</v>
      </c>
      <c r="J159" s="118">
        <v>18.68</v>
      </c>
      <c r="K159" s="173">
        <v>14.35</v>
      </c>
      <c r="L159" s="173">
        <v>14.35</v>
      </c>
      <c r="M159" s="173">
        <v>14.35</v>
      </c>
    </row>
    <row r="160" spans="1:16" ht="12.75">
      <c r="A160" s="113" t="s">
        <v>141</v>
      </c>
      <c r="B160" s="114" t="s">
        <v>94</v>
      </c>
      <c r="C160" s="115">
        <v>1</v>
      </c>
      <c r="D160" s="131"/>
      <c r="E160" s="131"/>
      <c r="F160" s="131"/>
      <c r="G160" s="117">
        <v>61.433999999999997</v>
      </c>
      <c r="H160" s="118">
        <v>7.7329999999999997</v>
      </c>
      <c r="I160" s="118">
        <v>35.624000000000002</v>
      </c>
      <c r="J160" s="118">
        <v>36.6</v>
      </c>
      <c r="K160" s="173">
        <v>2.2200000000000002</v>
      </c>
      <c r="L160" s="173">
        <v>2.2200000000000002</v>
      </c>
      <c r="M160" s="173">
        <v>2.2200000000000002</v>
      </c>
    </row>
    <row r="161" spans="1:14" ht="12.75">
      <c r="A161" s="113" t="s">
        <v>142</v>
      </c>
      <c r="B161" s="114" t="s">
        <v>94</v>
      </c>
      <c r="C161" s="115">
        <v>1</v>
      </c>
      <c r="D161" s="131"/>
      <c r="E161" s="131"/>
      <c r="F161" s="131"/>
      <c r="G161" s="117">
        <v>40.642000000000003</v>
      </c>
      <c r="H161" s="118">
        <v>49.768000000000001</v>
      </c>
      <c r="I161" s="118">
        <v>55.872999999999998</v>
      </c>
      <c r="J161" s="118">
        <v>27.98</v>
      </c>
      <c r="K161" s="173">
        <v>54.97</v>
      </c>
      <c r="L161" s="173">
        <v>23.963000000000001</v>
      </c>
      <c r="M161" s="173">
        <v>23.963000000000001</v>
      </c>
      <c r="N161" s="167"/>
    </row>
    <row r="162" spans="1:14" ht="12.75">
      <c r="A162" s="113" t="s">
        <v>143</v>
      </c>
      <c r="B162" s="114" t="s">
        <v>94</v>
      </c>
      <c r="C162" s="115"/>
      <c r="D162" s="131"/>
      <c r="E162" s="131"/>
      <c r="F162" s="131"/>
      <c r="G162" s="117"/>
      <c r="H162" s="118"/>
      <c r="I162" s="118">
        <v>0.21</v>
      </c>
      <c r="J162" s="118">
        <v>0.21</v>
      </c>
      <c r="K162" s="173"/>
      <c r="L162" s="173"/>
      <c r="M162" s="173"/>
    </row>
    <row r="163" spans="1:14" ht="12.75">
      <c r="A163" s="113" t="s">
        <v>144</v>
      </c>
      <c r="B163" s="114" t="s">
        <v>94</v>
      </c>
      <c r="C163" s="115">
        <v>1</v>
      </c>
      <c r="D163" s="131"/>
      <c r="E163" s="131"/>
      <c r="F163" s="131"/>
      <c r="G163" s="117">
        <v>30.803000000000001</v>
      </c>
      <c r="H163" s="118"/>
      <c r="I163" s="118">
        <v>43.53</v>
      </c>
      <c r="J163" s="118">
        <v>14.34</v>
      </c>
      <c r="K163" s="173">
        <v>45.45</v>
      </c>
      <c r="L163" s="173">
        <v>45.45</v>
      </c>
      <c r="M163" s="173">
        <v>45.45</v>
      </c>
    </row>
    <row r="164" spans="1:14" ht="12.75">
      <c r="A164" s="113" t="s">
        <v>145</v>
      </c>
      <c r="B164" s="114" t="s">
        <v>94</v>
      </c>
      <c r="C164" s="115">
        <v>1</v>
      </c>
      <c r="D164" s="131"/>
      <c r="E164" s="131"/>
      <c r="F164" s="131"/>
      <c r="G164" s="117">
        <v>9.8390000000000004</v>
      </c>
      <c r="H164" s="118">
        <v>7.1890000000000001</v>
      </c>
      <c r="I164" s="118">
        <v>6.56</v>
      </c>
      <c r="J164" s="118">
        <v>8.7200000000000006</v>
      </c>
      <c r="K164" s="173">
        <v>7.7222</v>
      </c>
      <c r="L164" s="173">
        <v>7.7222</v>
      </c>
      <c r="M164" s="173">
        <v>7.7222</v>
      </c>
    </row>
    <row r="165" spans="1:14" ht="12.75">
      <c r="A165" s="113" t="s">
        <v>146</v>
      </c>
      <c r="B165" s="114" t="s">
        <v>94</v>
      </c>
      <c r="C165" s="115">
        <v>1</v>
      </c>
      <c r="D165" s="131"/>
      <c r="E165" s="131"/>
      <c r="F165" s="131"/>
      <c r="G165" s="117">
        <v>0</v>
      </c>
      <c r="H165" s="118"/>
      <c r="I165" s="118">
        <v>5.57</v>
      </c>
      <c r="J165" s="118">
        <v>4.71</v>
      </c>
      <c r="K165" s="173"/>
      <c r="L165" s="173"/>
      <c r="M165" s="173"/>
    </row>
    <row r="166" spans="1:14" ht="31.5">
      <c r="A166" s="113" t="s">
        <v>147</v>
      </c>
      <c r="B166" s="114" t="s">
        <v>94</v>
      </c>
      <c r="C166" s="115"/>
      <c r="D166" s="131"/>
      <c r="E166" s="131"/>
      <c r="F166" s="131"/>
      <c r="G166" s="117"/>
      <c r="H166" s="147"/>
      <c r="I166" s="147"/>
      <c r="J166" s="147">
        <v>36.874000000000002</v>
      </c>
      <c r="K166" s="173">
        <v>29.96</v>
      </c>
      <c r="L166" s="173">
        <v>29.96</v>
      </c>
      <c r="M166" s="173">
        <v>29.96</v>
      </c>
    </row>
    <row r="167" spans="1:14" ht="12.75">
      <c r="A167" s="113" t="s">
        <v>148</v>
      </c>
      <c r="B167" s="114" t="s">
        <v>94</v>
      </c>
      <c r="C167" s="115"/>
      <c r="D167" s="131"/>
      <c r="E167" s="131"/>
      <c r="F167" s="131"/>
      <c r="G167" s="117">
        <v>20.631</v>
      </c>
      <c r="H167" s="118">
        <v>3.5760000000000001</v>
      </c>
      <c r="I167" s="118">
        <v>7.5490000000000004</v>
      </c>
      <c r="J167" s="118">
        <v>4.03</v>
      </c>
      <c r="K167" s="173">
        <v>1.7</v>
      </c>
      <c r="L167" s="173">
        <v>1.7</v>
      </c>
      <c r="M167" s="173">
        <v>1.7</v>
      </c>
    </row>
    <row r="168" spans="1:14" ht="12.75">
      <c r="A168" s="113" t="s">
        <v>149</v>
      </c>
      <c r="B168" s="114" t="s">
        <v>94</v>
      </c>
      <c r="C168" s="115"/>
      <c r="D168" s="131"/>
      <c r="E168" s="131"/>
      <c r="F168" s="131"/>
      <c r="G168" s="117">
        <v>13.289</v>
      </c>
      <c r="H168" s="119">
        <f>H118-H146</f>
        <v>56.117400000000089</v>
      </c>
      <c r="I168" s="119">
        <v>57.2</v>
      </c>
      <c r="J168" s="119">
        <f>J118-J146</f>
        <v>-48.831500000000005</v>
      </c>
      <c r="K168" s="173">
        <v>0</v>
      </c>
      <c r="L168" s="173">
        <f>L118-L146</f>
        <v>-3.0000000001564331E-3</v>
      </c>
      <c r="M168" s="173">
        <f>M118-M146</f>
        <v>-3.0000000001564331E-3</v>
      </c>
    </row>
    <row r="169" spans="1:14" ht="12.75">
      <c r="A169" s="113" t="s">
        <v>150</v>
      </c>
      <c r="B169" s="114" t="s">
        <v>94</v>
      </c>
      <c r="C169" s="115"/>
      <c r="D169" s="131"/>
      <c r="E169" s="131"/>
      <c r="F169" s="131"/>
      <c r="G169" s="117">
        <v>0</v>
      </c>
      <c r="H169" s="119">
        <f>142/1000</f>
        <v>0.14199999999999999</v>
      </c>
      <c r="I169" s="119">
        <f>142/1000</f>
        <v>0.14199999999999999</v>
      </c>
      <c r="J169" s="119">
        <v>0</v>
      </c>
      <c r="K169" s="173">
        <v>0</v>
      </c>
      <c r="L169" s="173">
        <v>0</v>
      </c>
      <c r="M169" s="173">
        <v>0</v>
      </c>
    </row>
    <row r="170" spans="1:14" ht="28.5">
      <c r="A170" s="171" t="s">
        <v>151</v>
      </c>
      <c r="B170" s="134"/>
      <c r="C170" s="115"/>
      <c r="D170" s="131"/>
      <c r="E170" s="131"/>
      <c r="F170" s="131"/>
      <c r="G170" s="177"/>
      <c r="H170" s="119"/>
      <c r="I170" s="119"/>
      <c r="J170" s="119"/>
      <c r="K170" s="119"/>
      <c r="L170" s="119"/>
      <c r="M170" s="119"/>
    </row>
    <row r="171" spans="1:14" ht="12.75">
      <c r="A171" s="151" t="s">
        <v>152</v>
      </c>
      <c r="B171" s="114" t="s">
        <v>94</v>
      </c>
      <c r="C171" s="115">
        <v>1</v>
      </c>
      <c r="D171" s="131"/>
      <c r="E171" s="131"/>
      <c r="F171" s="131"/>
      <c r="G171" s="117">
        <f t="shared" ref="G171:M171" si="12">G173+G174+G175+G179+G180</f>
        <v>7231.19</v>
      </c>
      <c r="H171" s="118">
        <f t="shared" si="12"/>
        <v>6584.8380000000006</v>
      </c>
      <c r="I171" s="118">
        <f t="shared" si="12"/>
        <v>7687.9</v>
      </c>
      <c r="J171" s="118">
        <f t="shared" si="12"/>
        <v>8113.5250000000005</v>
      </c>
      <c r="K171" s="119">
        <f>K173+K174+K175+K179+K180</f>
        <v>8385.5712500000009</v>
      </c>
      <c r="L171" s="119">
        <f t="shared" si="12"/>
        <v>8804.8498125000006</v>
      </c>
      <c r="M171" s="119">
        <f t="shared" si="12"/>
        <v>9245.0923031250022</v>
      </c>
    </row>
    <row r="172" spans="1:14" ht="12.75">
      <c r="A172" s="113" t="s">
        <v>31</v>
      </c>
      <c r="B172" s="114"/>
      <c r="C172" s="115"/>
      <c r="D172" s="131"/>
      <c r="E172" s="131"/>
      <c r="F172" s="131"/>
      <c r="G172" s="117"/>
      <c r="H172" s="119"/>
      <c r="I172" s="119"/>
      <c r="J172" s="119"/>
      <c r="K172" s="119"/>
      <c r="L172" s="119"/>
      <c r="M172" s="119"/>
    </row>
    <row r="173" spans="1:14" ht="12.75">
      <c r="A173" s="136" t="s">
        <v>153</v>
      </c>
      <c r="B173" s="114" t="s">
        <v>94</v>
      </c>
      <c r="C173" s="115">
        <v>1</v>
      </c>
      <c r="D173" s="131"/>
      <c r="E173" s="131"/>
      <c r="F173" s="131"/>
      <c r="G173" s="117">
        <v>5007.3</v>
      </c>
      <c r="H173" s="118">
        <v>3724.3</v>
      </c>
      <c r="I173" s="118">
        <v>4274.8999999999996</v>
      </c>
      <c r="J173" s="118">
        <v>5040.8450000000003</v>
      </c>
      <c r="K173" s="119">
        <f>J173*1.05</f>
        <v>5292.8872500000007</v>
      </c>
      <c r="L173" s="119">
        <f>K173*1.05</f>
        <v>5557.5316125000008</v>
      </c>
      <c r="M173" s="119">
        <f>L173*1.05</f>
        <v>5835.4081931250012</v>
      </c>
    </row>
    <row r="174" spans="1:14" ht="12.75">
      <c r="A174" s="136" t="s">
        <v>154</v>
      </c>
      <c r="B174" s="114" t="s">
        <v>94</v>
      </c>
      <c r="C174" s="115">
        <v>1</v>
      </c>
      <c r="D174" s="131"/>
      <c r="E174" s="131"/>
      <c r="F174" s="131"/>
      <c r="G174" s="117">
        <v>422.3</v>
      </c>
      <c r="H174" s="118">
        <v>516.1</v>
      </c>
      <c r="I174" s="118">
        <v>885</v>
      </c>
      <c r="J174" s="118">
        <v>660.6</v>
      </c>
      <c r="K174" s="119">
        <v>560</v>
      </c>
      <c r="L174" s="119">
        <f t="shared" ref="L174:M181" si="13">K174*1.05</f>
        <v>588</v>
      </c>
      <c r="M174" s="119">
        <f t="shared" si="13"/>
        <v>617.4</v>
      </c>
    </row>
    <row r="175" spans="1:14" ht="12.75">
      <c r="A175" s="136" t="s">
        <v>155</v>
      </c>
      <c r="B175" s="114" t="s">
        <v>94</v>
      </c>
      <c r="C175" s="115">
        <v>1</v>
      </c>
      <c r="D175" s="131"/>
      <c r="E175" s="131"/>
      <c r="F175" s="131"/>
      <c r="G175" s="117">
        <v>1529.4</v>
      </c>
      <c r="H175" s="118">
        <f>H176+H177</f>
        <v>2062.4300000000003</v>
      </c>
      <c r="I175" s="118">
        <v>2178.1999999999998</v>
      </c>
      <c r="J175" s="118">
        <v>2302.08</v>
      </c>
      <c r="K175" s="119">
        <f t="shared" ref="K175:K181" si="14">J175*1.05</f>
        <v>2417.1840000000002</v>
      </c>
      <c r="L175" s="119">
        <f t="shared" si="13"/>
        <v>2538.0432000000005</v>
      </c>
      <c r="M175" s="119">
        <f t="shared" si="13"/>
        <v>2664.9453600000006</v>
      </c>
    </row>
    <row r="176" spans="1:14" ht="12.75">
      <c r="A176" s="166" t="s">
        <v>156</v>
      </c>
      <c r="B176" s="114" t="s">
        <v>94</v>
      </c>
      <c r="C176" s="115">
        <v>1</v>
      </c>
      <c r="D176" s="131"/>
      <c r="E176" s="131"/>
      <c r="F176" s="131"/>
      <c r="G176" s="117">
        <v>1241.5</v>
      </c>
      <c r="H176" s="118">
        <v>1566.93</v>
      </c>
      <c r="I176" s="118">
        <v>1673.8</v>
      </c>
      <c r="J176" s="118">
        <v>1953.22</v>
      </c>
      <c r="K176" s="119">
        <f t="shared" si="14"/>
        <v>2050.8810000000003</v>
      </c>
      <c r="L176" s="119">
        <f t="shared" si="13"/>
        <v>2153.4250500000003</v>
      </c>
      <c r="M176" s="119">
        <f t="shared" si="13"/>
        <v>2261.0963025000005</v>
      </c>
    </row>
    <row r="177" spans="1:15" ht="12.75">
      <c r="A177" s="166" t="s">
        <v>157</v>
      </c>
      <c r="B177" s="114" t="s">
        <v>94</v>
      </c>
      <c r="C177" s="115">
        <v>1</v>
      </c>
      <c r="D177" s="131"/>
      <c r="E177" s="131"/>
      <c r="F177" s="131"/>
      <c r="G177" s="117">
        <v>287.89999999999998</v>
      </c>
      <c r="H177" s="118">
        <v>495.5</v>
      </c>
      <c r="I177" s="118">
        <v>504.3</v>
      </c>
      <c r="J177" s="118">
        <v>348.86</v>
      </c>
      <c r="K177" s="119">
        <f t="shared" si="14"/>
        <v>366.30300000000005</v>
      </c>
      <c r="L177" s="119">
        <f t="shared" si="13"/>
        <v>384.61815000000007</v>
      </c>
      <c r="M177" s="119">
        <f t="shared" si="13"/>
        <v>403.84905750000007</v>
      </c>
    </row>
    <row r="178" spans="1:15" ht="12.75">
      <c r="A178" s="166" t="s">
        <v>158</v>
      </c>
      <c r="B178" s="114" t="s">
        <v>94</v>
      </c>
      <c r="C178" s="115">
        <v>1</v>
      </c>
      <c r="D178" s="131"/>
      <c r="E178" s="131"/>
      <c r="F178" s="131"/>
      <c r="G178" s="117"/>
      <c r="H178" s="119"/>
      <c r="I178" s="119">
        <v>0</v>
      </c>
      <c r="J178" s="119">
        <v>0</v>
      </c>
      <c r="K178" s="119">
        <f t="shared" si="14"/>
        <v>0</v>
      </c>
      <c r="L178" s="119">
        <f t="shared" si="13"/>
        <v>0</v>
      </c>
      <c r="M178" s="119">
        <f t="shared" si="13"/>
        <v>0</v>
      </c>
    </row>
    <row r="179" spans="1:15" ht="12.75">
      <c r="A179" s="136" t="s">
        <v>159</v>
      </c>
      <c r="B179" s="114" t="s">
        <v>94</v>
      </c>
      <c r="C179" s="115">
        <v>1</v>
      </c>
      <c r="D179" s="131"/>
      <c r="E179" s="131"/>
      <c r="F179" s="131"/>
      <c r="G179" s="117">
        <v>25.08</v>
      </c>
      <c r="H179" s="118">
        <v>82</v>
      </c>
      <c r="I179" s="118">
        <v>82.6</v>
      </c>
      <c r="J179" s="118"/>
      <c r="K179" s="119">
        <f t="shared" si="14"/>
        <v>0</v>
      </c>
      <c r="L179" s="119">
        <f t="shared" si="13"/>
        <v>0</v>
      </c>
      <c r="M179" s="119">
        <f t="shared" si="13"/>
        <v>0</v>
      </c>
    </row>
    <row r="180" spans="1:15" ht="12.75">
      <c r="A180" s="136" t="s">
        <v>160</v>
      </c>
      <c r="B180" s="114" t="s">
        <v>94</v>
      </c>
      <c r="C180" s="115">
        <v>1</v>
      </c>
      <c r="D180" s="131"/>
      <c r="E180" s="131"/>
      <c r="F180" s="131"/>
      <c r="G180" s="117">
        <f>0.92+109.47+136.72</f>
        <v>247.11</v>
      </c>
      <c r="H180" s="118">
        <f>5.198+66.91+127.9</f>
        <v>200.00800000000001</v>
      </c>
      <c r="I180" s="118">
        <f>2.7+127+137.5</f>
        <v>267.2</v>
      </c>
      <c r="J180" s="118">
        <v>110</v>
      </c>
      <c r="K180" s="119">
        <f t="shared" si="14"/>
        <v>115.5</v>
      </c>
      <c r="L180" s="119">
        <f t="shared" si="13"/>
        <v>121.27500000000001</v>
      </c>
      <c r="M180" s="119">
        <f t="shared" si="13"/>
        <v>127.33875</v>
      </c>
    </row>
    <row r="181" spans="1:15" ht="12.75">
      <c r="A181" s="113" t="s">
        <v>161</v>
      </c>
      <c r="B181" s="114" t="s">
        <v>162</v>
      </c>
      <c r="C181" s="115">
        <v>1</v>
      </c>
      <c r="D181" s="131"/>
      <c r="E181" s="131"/>
      <c r="F181" s="131"/>
      <c r="G181" s="117">
        <f>G171/G6/12*1000</f>
        <v>9552.9354259141837</v>
      </c>
      <c r="H181" s="118">
        <v>8335.4</v>
      </c>
      <c r="I181" s="118">
        <v>8752.17</v>
      </c>
      <c r="J181" s="118">
        <v>9649.267425</v>
      </c>
      <c r="K181" s="119">
        <f t="shared" si="14"/>
        <v>10131.73079625</v>
      </c>
      <c r="L181" s="119">
        <f t="shared" si="13"/>
        <v>10638.317336062501</v>
      </c>
      <c r="M181" s="119">
        <f t="shared" si="13"/>
        <v>11170.233202865626</v>
      </c>
    </row>
    <row r="182" spans="1:15" ht="12.75">
      <c r="A182" s="151" t="s">
        <v>163</v>
      </c>
      <c r="B182" s="114" t="s">
        <v>94</v>
      </c>
      <c r="C182" s="115">
        <v>1</v>
      </c>
      <c r="D182" s="131"/>
      <c r="E182" s="131"/>
      <c r="F182" s="131"/>
      <c r="G182" s="117">
        <f t="shared" ref="G182:M182" si="15">G184+G186+G187</f>
        <v>6914.0800000000008</v>
      </c>
      <c r="H182" s="118">
        <f t="shared" si="15"/>
        <v>6538.7</v>
      </c>
      <c r="I182" s="118">
        <f t="shared" si="15"/>
        <v>7745.119999999999</v>
      </c>
      <c r="J182" s="118">
        <f t="shared" si="15"/>
        <v>8156.33</v>
      </c>
      <c r="K182" s="119">
        <f t="shared" si="15"/>
        <v>9206.5584999999992</v>
      </c>
      <c r="L182" s="119">
        <f t="shared" si="15"/>
        <v>9666.8864250000006</v>
      </c>
      <c r="M182" s="119">
        <f t="shared" si="15"/>
        <v>10150.230746250001</v>
      </c>
    </row>
    <row r="183" spans="1:15" ht="12.75">
      <c r="A183" s="113" t="s">
        <v>31</v>
      </c>
      <c r="B183" s="114" t="s">
        <v>164</v>
      </c>
      <c r="C183" s="115"/>
      <c r="D183" s="131"/>
      <c r="E183" s="131"/>
      <c r="F183" s="131"/>
      <c r="G183" s="117"/>
      <c r="H183" s="118"/>
      <c r="I183" s="118">
        <v>0</v>
      </c>
      <c r="J183" s="118">
        <v>0</v>
      </c>
      <c r="K183" s="119">
        <f t="shared" ref="K183:M186" si="16">J183*1.05</f>
        <v>0</v>
      </c>
      <c r="L183" s="119">
        <f t="shared" si="16"/>
        <v>0</v>
      </c>
      <c r="M183" s="119">
        <f t="shared" si="16"/>
        <v>0</v>
      </c>
      <c r="O183" s="167"/>
    </row>
    <row r="184" spans="1:15" ht="12.75">
      <c r="A184" s="136" t="s">
        <v>165</v>
      </c>
      <c r="B184" s="114" t="s">
        <v>94</v>
      </c>
      <c r="C184" s="115">
        <v>1</v>
      </c>
      <c r="D184" s="131"/>
      <c r="E184" s="131"/>
      <c r="F184" s="131"/>
      <c r="G184" s="117">
        <f>6143.1+521.18</f>
        <v>6664.2800000000007</v>
      </c>
      <c r="H184" s="118">
        <v>4364.96</v>
      </c>
      <c r="I184" s="118">
        <v>4841.74</v>
      </c>
      <c r="J184" s="118">
        <v>5785.65</v>
      </c>
      <c r="K184" s="119">
        <f t="shared" si="16"/>
        <v>6074.9324999999999</v>
      </c>
      <c r="L184" s="119">
        <f t="shared" si="16"/>
        <v>6378.6791250000006</v>
      </c>
      <c r="M184" s="119">
        <f t="shared" si="16"/>
        <v>6697.6130812500005</v>
      </c>
    </row>
    <row r="185" spans="1:15" ht="12.75">
      <c r="A185" s="166" t="s">
        <v>166</v>
      </c>
      <c r="B185" s="114" t="s">
        <v>94</v>
      </c>
      <c r="C185" s="115">
        <v>1</v>
      </c>
      <c r="D185" s="131"/>
      <c r="E185" s="131"/>
      <c r="F185" s="131"/>
      <c r="G185" s="117"/>
      <c r="H185" s="118">
        <v>3724.3</v>
      </c>
      <c r="I185" s="118">
        <v>4167.8</v>
      </c>
      <c r="J185" s="118">
        <v>5010.63</v>
      </c>
      <c r="K185" s="119">
        <f t="shared" si="16"/>
        <v>5261.1615000000002</v>
      </c>
      <c r="L185" s="119">
        <f t="shared" si="16"/>
        <v>5524.2195750000001</v>
      </c>
      <c r="M185" s="119">
        <f t="shared" si="16"/>
        <v>5800.4305537500004</v>
      </c>
    </row>
    <row r="186" spans="1:15" ht="12.75">
      <c r="A186" s="136" t="s">
        <v>167</v>
      </c>
      <c r="B186" s="114" t="s">
        <v>94</v>
      </c>
      <c r="C186" s="115">
        <v>1</v>
      </c>
      <c r="D186" s="131"/>
      <c r="E186" s="131"/>
      <c r="F186" s="131"/>
      <c r="G186" s="117">
        <v>64.17</v>
      </c>
      <c r="H186" s="118">
        <v>58.61</v>
      </c>
      <c r="I186" s="118">
        <v>92.98</v>
      </c>
      <c r="J186" s="118">
        <v>90.12</v>
      </c>
      <c r="K186" s="119">
        <f t="shared" si="16"/>
        <v>94.626000000000005</v>
      </c>
      <c r="L186" s="119">
        <f t="shared" si="16"/>
        <v>99.357300000000009</v>
      </c>
      <c r="M186" s="119">
        <f t="shared" si="16"/>
        <v>104.32516500000001</v>
      </c>
    </row>
    <row r="187" spans="1:15" ht="12.75">
      <c r="A187" s="136" t="s">
        <v>168</v>
      </c>
      <c r="B187" s="114" t="s">
        <v>94</v>
      </c>
      <c r="C187" s="115">
        <v>1</v>
      </c>
      <c r="D187" s="131"/>
      <c r="E187" s="131"/>
      <c r="F187" s="131"/>
      <c r="G187" s="117">
        <f>65+1.2+117.93+1.5</f>
        <v>185.63</v>
      </c>
      <c r="H187" s="118">
        <f>452.5+1.8+300.74+1360.09</f>
        <v>2115.13</v>
      </c>
      <c r="I187" s="118">
        <v>2810.4</v>
      </c>
      <c r="J187" s="118">
        <f>1785+317.42+178.14</f>
        <v>2280.56</v>
      </c>
      <c r="K187" s="119">
        <v>3037</v>
      </c>
      <c r="L187" s="119">
        <f>K187*1.05</f>
        <v>3188.85</v>
      </c>
      <c r="M187" s="119">
        <f>L187*1.05</f>
        <v>3348.2925</v>
      </c>
    </row>
    <row r="188" spans="1:15" ht="21">
      <c r="A188" s="136" t="s">
        <v>169</v>
      </c>
      <c r="B188" s="114" t="s">
        <v>94</v>
      </c>
      <c r="C188" s="115">
        <v>1</v>
      </c>
      <c r="D188" s="131"/>
      <c r="E188" s="131"/>
      <c r="F188" s="131"/>
      <c r="G188" s="117">
        <f>G171-G182</f>
        <v>317.10999999999876</v>
      </c>
      <c r="H188" s="118">
        <v>46.14</v>
      </c>
      <c r="I188" s="118">
        <v>603.34599999999864</v>
      </c>
      <c r="J188" s="118">
        <v>612.46329999999944</v>
      </c>
      <c r="K188" s="119">
        <f>K171-K182</f>
        <v>-820.98724999999831</v>
      </c>
      <c r="L188" s="119">
        <f>L171-L182</f>
        <v>-862.03661250000005</v>
      </c>
      <c r="M188" s="119">
        <f>M171-M182</f>
        <v>-905.13844312499896</v>
      </c>
    </row>
    <row r="189" spans="1:15" ht="31.5">
      <c r="A189" s="113" t="s">
        <v>170</v>
      </c>
      <c r="B189" s="114" t="s">
        <v>171</v>
      </c>
      <c r="C189" s="115">
        <v>1</v>
      </c>
      <c r="D189" s="178"/>
      <c r="E189" s="131"/>
      <c r="F189" s="131"/>
      <c r="G189" s="117">
        <v>6374.6</v>
      </c>
      <c r="H189" s="118">
        <v>7923</v>
      </c>
      <c r="I189" s="118">
        <v>8319.15</v>
      </c>
      <c r="J189" s="118">
        <v>8485.5329999999994</v>
      </c>
      <c r="K189" s="119">
        <f>J189*1.02</f>
        <v>8655.2436600000001</v>
      </c>
      <c r="L189" s="119">
        <f>K189*1.03</f>
        <v>8914.9009698000009</v>
      </c>
      <c r="M189" s="119">
        <f>L189*1.05</f>
        <v>9360.6460182900009</v>
      </c>
    </row>
    <row r="190" spans="1:15" ht="14.25">
      <c r="A190" s="124" t="s">
        <v>172</v>
      </c>
      <c r="B190" s="134"/>
      <c r="C190" s="115"/>
      <c r="D190" s="131"/>
      <c r="E190" s="131"/>
      <c r="F190" s="131"/>
      <c r="G190" s="117"/>
      <c r="H190" s="119"/>
      <c r="I190" s="119"/>
      <c r="J190" s="119">
        <f>H190*1.05</f>
        <v>0</v>
      </c>
      <c r="K190" s="119"/>
      <c r="L190" s="119"/>
      <c r="M190" s="119"/>
    </row>
    <row r="191" spans="1:15" ht="12.75">
      <c r="A191" s="113" t="s">
        <v>173</v>
      </c>
      <c r="B191" s="114" t="s">
        <v>13</v>
      </c>
      <c r="C191" s="115">
        <v>1</v>
      </c>
      <c r="D191" s="131"/>
      <c r="E191" s="131"/>
      <c r="F191" s="131"/>
      <c r="G191" s="117">
        <v>37.08</v>
      </c>
      <c r="H191" s="118">
        <v>34.46</v>
      </c>
      <c r="I191" s="118">
        <v>34.130000000000003</v>
      </c>
      <c r="J191" s="118">
        <v>34.33</v>
      </c>
      <c r="K191" s="119">
        <v>34.46</v>
      </c>
      <c r="L191" s="119">
        <v>34.46</v>
      </c>
      <c r="M191" s="119">
        <v>34.46</v>
      </c>
    </row>
    <row r="192" spans="1:15" ht="12.75">
      <c r="A192" s="151" t="s">
        <v>174</v>
      </c>
      <c r="B192" s="114" t="s">
        <v>13</v>
      </c>
      <c r="C192" s="115">
        <v>1</v>
      </c>
      <c r="D192" s="131"/>
      <c r="E192" s="131"/>
      <c r="F192" s="131"/>
      <c r="G192" s="117">
        <v>32.790999999999997</v>
      </c>
      <c r="H192" s="118">
        <v>29.9</v>
      </c>
      <c r="I192" s="118">
        <v>29.12</v>
      </c>
      <c r="J192" s="118">
        <v>31.027999999999999</v>
      </c>
      <c r="K192" s="119">
        <v>29.9</v>
      </c>
      <c r="L192" s="119">
        <v>29.9</v>
      </c>
      <c r="M192" s="119">
        <v>29.9</v>
      </c>
    </row>
    <row r="193" spans="1:15" ht="21">
      <c r="A193" s="113" t="s">
        <v>175</v>
      </c>
      <c r="B193" s="114" t="s">
        <v>164</v>
      </c>
      <c r="C193" s="115"/>
      <c r="D193" s="131"/>
      <c r="E193" s="131"/>
      <c r="F193" s="131"/>
      <c r="G193" s="117"/>
      <c r="H193" s="119"/>
      <c r="I193" s="119"/>
      <c r="J193" s="119"/>
      <c r="K193" s="119"/>
      <c r="L193" s="119"/>
      <c r="M193" s="119"/>
    </row>
    <row r="194" spans="1:15" ht="21">
      <c r="A194" s="136" t="s">
        <v>176</v>
      </c>
      <c r="B194" s="114" t="s">
        <v>13</v>
      </c>
      <c r="C194" s="115">
        <v>1</v>
      </c>
      <c r="D194" s="131"/>
      <c r="E194" s="131"/>
      <c r="F194" s="131"/>
      <c r="G194" s="117">
        <v>3.21</v>
      </c>
      <c r="H194" s="162">
        <f>(230+2223+582)/1000</f>
        <v>3.0350000000000001</v>
      </c>
      <c r="I194" s="162">
        <v>2.73</v>
      </c>
      <c r="J194" s="162">
        <f>(230+2223+582)/1000</f>
        <v>3.0350000000000001</v>
      </c>
      <c r="K194" s="119">
        <f>(230+2223+582)/1000</f>
        <v>3.0350000000000001</v>
      </c>
      <c r="L194" s="119">
        <f>(230+2223+582)/1000</f>
        <v>3.0350000000000001</v>
      </c>
      <c r="M194" s="119">
        <f>(230+2223+582)/1000</f>
        <v>3.0350000000000001</v>
      </c>
    </row>
    <row r="195" spans="1:15" ht="12.75">
      <c r="A195" s="136" t="s">
        <v>177</v>
      </c>
      <c r="B195" s="114" t="s">
        <v>13</v>
      </c>
      <c r="C195" s="115">
        <v>1</v>
      </c>
      <c r="D195" s="131"/>
      <c r="E195" s="131"/>
      <c r="F195" s="131"/>
      <c r="G195" s="117"/>
      <c r="H195" s="119"/>
      <c r="I195" s="119"/>
      <c r="J195" s="119"/>
      <c r="K195" s="119"/>
      <c r="L195" s="119"/>
      <c r="M195" s="119"/>
    </row>
    <row r="196" spans="1:15" ht="21">
      <c r="A196" s="136" t="s">
        <v>178</v>
      </c>
      <c r="B196" s="114" t="s">
        <v>13</v>
      </c>
      <c r="C196" s="115">
        <v>1</v>
      </c>
      <c r="D196" s="131"/>
      <c r="E196" s="131"/>
      <c r="F196" s="131"/>
      <c r="G196" s="117">
        <f>4029/1000</f>
        <v>4.0289999999999999</v>
      </c>
      <c r="H196" s="162">
        <f t="shared" ref="H196:M196" si="17">(560+672)/1000</f>
        <v>1.232</v>
      </c>
      <c r="I196" s="162">
        <f t="shared" si="17"/>
        <v>1.232</v>
      </c>
      <c r="J196" s="162">
        <f t="shared" si="17"/>
        <v>1.232</v>
      </c>
      <c r="K196" s="119">
        <f t="shared" si="17"/>
        <v>1.232</v>
      </c>
      <c r="L196" s="119">
        <f t="shared" si="17"/>
        <v>1.232</v>
      </c>
      <c r="M196" s="119">
        <f t="shared" si="17"/>
        <v>1.232</v>
      </c>
    </row>
    <row r="197" spans="1:15" ht="12.75">
      <c r="A197" s="136" t="s">
        <v>179</v>
      </c>
      <c r="B197" s="114" t="s">
        <v>13</v>
      </c>
      <c r="C197" s="115">
        <v>1</v>
      </c>
      <c r="D197" s="131"/>
      <c r="E197" s="131"/>
      <c r="F197" s="131"/>
      <c r="G197" s="117"/>
      <c r="H197" s="119"/>
      <c r="I197" s="119"/>
      <c r="J197" s="119"/>
      <c r="K197" s="119"/>
      <c r="L197" s="119"/>
      <c r="M197" s="119"/>
      <c r="N197" s="179"/>
      <c r="O197" s="179"/>
    </row>
    <row r="198" spans="1:15" ht="15">
      <c r="A198" s="136" t="s">
        <v>180</v>
      </c>
      <c r="B198" s="114" t="s">
        <v>13</v>
      </c>
      <c r="C198" s="115">
        <v>1</v>
      </c>
      <c r="D198" s="131"/>
      <c r="E198" s="131"/>
      <c r="F198" s="131"/>
      <c r="G198" s="117">
        <v>15.8</v>
      </c>
      <c r="H198" s="119">
        <v>15.8</v>
      </c>
      <c r="I198" s="119">
        <v>18.47</v>
      </c>
      <c r="J198" s="119">
        <v>15.8</v>
      </c>
      <c r="K198" s="119">
        <v>15.8</v>
      </c>
      <c r="L198" s="119">
        <v>15.8</v>
      </c>
      <c r="M198" s="119">
        <v>15.8</v>
      </c>
      <c r="N198" s="180"/>
      <c r="O198" s="180"/>
    </row>
    <row r="199" spans="1:15" ht="15">
      <c r="A199" s="136" t="s">
        <v>181</v>
      </c>
      <c r="B199" s="114" t="s">
        <v>164</v>
      </c>
      <c r="C199" s="115">
        <v>1</v>
      </c>
      <c r="D199" s="131"/>
      <c r="E199" s="131"/>
      <c r="F199" s="131"/>
      <c r="G199" s="117"/>
      <c r="H199" s="119"/>
      <c r="I199" s="119"/>
      <c r="J199" s="119"/>
      <c r="K199" s="119"/>
      <c r="L199" s="119"/>
      <c r="M199" s="119"/>
      <c r="N199" s="180"/>
      <c r="O199" s="180"/>
    </row>
    <row r="200" spans="1:15" ht="21">
      <c r="A200" s="166" t="s">
        <v>182</v>
      </c>
      <c r="B200" s="114" t="s">
        <v>13</v>
      </c>
      <c r="C200" s="115">
        <v>1</v>
      </c>
      <c r="D200" s="131"/>
      <c r="E200" s="131"/>
      <c r="F200" s="131"/>
      <c r="G200" s="117">
        <v>0.16</v>
      </c>
      <c r="H200" s="119">
        <v>0.16</v>
      </c>
      <c r="I200" s="119">
        <v>0.16800000000000001</v>
      </c>
      <c r="J200" s="119">
        <v>0.16</v>
      </c>
      <c r="K200" s="119">
        <v>0.16</v>
      </c>
      <c r="L200" s="119">
        <v>0.16</v>
      </c>
      <c r="M200" s="119">
        <v>0.16</v>
      </c>
      <c r="N200" s="180"/>
      <c r="O200" s="180"/>
    </row>
    <row r="201" spans="1:15" ht="15">
      <c r="A201" s="166" t="s">
        <v>183</v>
      </c>
      <c r="B201" s="114" t="s">
        <v>13</v>
      </c>
      <c r="C201" s="115">
        <v>1</v>
      </c>
      <c r="D201" s="131"/>
      <c r="E201" s="131"/>
      <c r="F201" s="131"/>
      <c r="G201" s="117"/>
      <c r="H201" s="119"/>
      <c r="I201" s="119">
        <f>I198-I202-I200</f>
        <v>2.501999999999998</v>
      </c>
      <c r="J201" s="119"/>
      <c r="K201" s="119"/>
      <c r="L201" s="119"/>
      <c r="M201" s="119"/>
      <c r="N201" s="181"/>
      <c r="O201" s="181"/>
    </row>
    <row r="202" spans="1:15" ht="42">
      <c r="A202" s="166" t="s">
        <v>184</v>
      </c>
      <c r="B202" s="114" t="s">
        <v>13</v>
      </c>
      <c r="C202" s="115">
        <v>1</v>
      </c>
      <c r="D202" s="131"/>
      <c r="E202" s="131"/>
      <c r="F202" s="131"/>
      <c r="G202" s="117">
        <f>G198-G200</f>
        <v>15.64</v>
      </c>
      <c r="H202" s="119">
        <v>15.64</v>
      </c>
      <c r="I202" s="119">
        <v>15.8</v>
      </c>
      <c r="J202" s="119">
        <v>15.64</v>
      </c>
      <c r="K202" s="119">
        <v>15.64</v>
      </c>
      <c r="L202" s="119">
        <v>15.64</v>
      </c>
      <c r="M202" s="119">
        <v>15.64</v>
      </c>
      <c r="N202" s="181"/>
      <c r="O202" s="181"/>
    </row>
    <row r="203" spans="1:15" ht="21">
      <c r="A203" s="113" t="s">
        <v>185</v>
      </c>
      <c r="B203" s="114" t="s">
        <v>13</v>
      </c>
      <c r="C203" s="115">
        <v>1</v>
      </c>
      <c r="D203" s="131"/>
      <c r="E203" s="131"/>
      <c r="F203" s="131"/>
      <c r="G203" s="117">
        <v>0.92</v>
      </c>
      <c r="H203" s="119">
        <v>1.6</v>
      </c>
      <c r="I203" s="119">
        <v>1.74</v>
      </c>
      <c r="J203" s="119">
        <v>1.7</v>
      </c>
      <c r="K203" s="119">
        <v>1.7</v>
      </c>
      <c r="L203" s="119">
        <v>1.68</v>
      </c>
      <c r="M203" s="119">
        <v>1.68</v>
      </c>
    </row>
    <row r="204" spans="1:15" ht="31.5" customHeight="1">
      <c r="A204" s="113" t="s">
        <v>186</v>
      </c>
      <c r="B204" s="114" t="s">
        <v>13</v>
      </c>
      <c r="C204" s="115">
        <v>1</v>
      </c>
      <c r="D204" s="131"/>
      <c r="E204" s="131"/>
      <c r="F204" s="131"/>
      <c r="G204" s="117">
        <v>3.7</v>
      </c>
      <c r="H204" s="119">
        <f t="shared" ref="H204:M204" si="18">66.58</f>
        <v>66.58</v>
      </c>
      <c r="I204" s="119">
        <f t="shared" si="18"/>
        <v>66.58</v>
      </c>
      <c r="J204" s="119">
        <f t="shared" si="18"/>
        <v>66.58</v>
      </c>
      <c r="K204" s="119">
        <f t="shared" si="18"/>
        <v>66.58</v>
      </c>
      <c r="L204" s="119">
        <f t="shared" si="18"/>
        <v>66.58</v>
      </c>
      <c r="M204" s="119">
        <f t="shared" si="18"/>
        <v>66.58</v>
      </c>
    </row>
    <row r="205" spans="1:15" ht="12.75">
      <c r="A205" s="113" t="s">
        <v>187</v>
      </c>
      <c r="B205" s="114" t="s">
        <v>188</v>
      </c>
      <c r="C205" s="115">
        <v>1</v>
      </c>
      <c r="D205" s="131"/>
      <c r="E205" s="131"/>
      <c r="F205" s="131"/>
      <c r="G205" s="117">
        <v>9.02</v>
      </c>
      <c r="H205" s="119">
        <v>8.9</v>
      </c>
      <c r="I205" s="119">
        <v>10.1</v>
      </c>
      <c r="J205" s="173">
        <v>8.9</v>
      </c>
      <c r="K205" s="119">
        <v>8.9</v>
      </c>
      <c r="L205" s="119">
        <v>8.9</v>
      </c>
      <c r="M205" s="119">
        <v>8.9</v>
      </c>
    </row>
    <row r="206" spans="1:15" ht="12.75">
      <c r="A206" s="113" t="s">
        <v>189</v>
      </c>
      <c r="B206" s="114" t="s">
        <v>188</v>
      </c>
      <c r="C206" s="115">
        <v>1</v>
      </c>
      <c r="D206" s="131"/>
      <c r="E206" s="131"/>
      <c r="F206" s="131"/>
      <c r="G206" s="117">
        <v>2.75</v>
      </c>
      <c r="H206" s="119">
        <v>2.4</v>
      </c>
      <c r="I206" s="119">
        <v>2.4300000000000002</v>
      </c>
      <c r="J206" s="119">
        <v>2.4</v>
      </c>
      <c r="K206" s="119">
        <v>2.4</v>
      </c>
      <c r="L206" s="119">
        <v>2.4</v>
      </c>
      <c r="M206" s="119">
        <v>2.4</v>
      </c>
    </row>
    <row r="207" spans="1:15" ht="12.75">
      <c r="A207" s="113" t="s">
        <v>190</v>
      </c>
      <c r="B207" s="114" t="s">
        <v>13</v>
      </c>
      <c r="C207" s="115">
        <v>1</v>
      </c>
      <c r="D207" s="131"/>
      <c r="E207" s="131"/>
      <c r="F207" s="131"/>
      <c r="G207" s="117">
        <v>3.2</v>
      </c>
      <c r="H207" s="119">
        <v>2.92</v>
      </c>
      <c r="I207" s="119">
        <v>3.278</v>
      </c>
      <c r="J207" s="173">
        <v>2.92</v>
      </c>
      <c r="K207" s="119">
        <v>2.92</v>
      </c>
      <c r="L207" s="119">
        <v>2.92</v>
      </c>
      <c r="M207" s="119">
        <v>2.92</v>
      </c>
    </row>
    <row r="208" spans="1:15" ht="31.5">
      <c r="A208" s="113" t="s">
        <v>191</v>
      </c>
      <c r="B208" s="114" t="s">
        <v>13</v>
      </c>
      <c r="C208" s="115">
        <v>1</v>
      </c>
      <c r="D208" s="131"/>
      <c r="E208" s="178"/>
      <c r="F208" s="131"/>
      <c r="G208" s="117">
        <v>0.99</v>
      </c>
      <c r="H208" s="119">
        <v>0.79</v>
      </c>
      <c r="I208" s="119">
        <v>0.78600000000000003</v>
      </c>
      <c r="J208" s="119">
        <v>0.79</v>
      </c>
      <c r="K208" s="119">
        <v>0.79</v>
      </c>
      <c r="L208" s="119">
        <v>0.79</v>
      </c>
      <c r="M208" s="119">
        <v>0.79</v>
      </c>
    </row>
    <row r="209" spans="1:14" ht="21">
      <c r="A209" s="113" t="s">
        <v>192</v>
      </c>
      <c r="B209" s="114" t="s">
        <v>13</v>
      </c>
      <c r="C209" s="115">
        <v>1</v>
      </c>
      <c r="D209" s="131"/>
      <c r="E209" s="131"/>
      <c r="F209" s="131"/>
      <c r="G209" s="117">
        <v>6.569</v>
      </c>
      <c r="H209" s="119">
        <v>3.97</v>
      </c>
      <c r="I209" s="119">
        <v>3.97</v>
      </c>
      <c r="J209" s="119">
        <v>3.97</v>
      </c>
      <c r="K209" s="119">
        <v>3.97</v>
      </c>
      <c r="L209" s="119">
        <v>3.97</v>
      </c>
      <c r="M209" s="119">
        <v>3.97</v>
      </c>
    </row>
    <row r="210" spans="1:14" ht="12.75">
      <c r="A210" s="113" t="s">
        <v>193</v>
      </c>
      <c r="B210" s="114" t="s">
        <v>30</v>
      </c>
      <c r="C210" s="115">
        <v>1</v>
      </c>
      <c r="D210" s="131"/>
      <c r="E210" s="131"/>
      <c r="F210" s="131"/>
      <c r="G210" s="117">
        <v>422.3</v>
      </c>
      <c r="H210" s="119">
        <v>516.1</v>
      </c>
      <c r="I210" s="119">
        <v>885</v>
      </c>
      <c r="J210" s="119">
        <f t="shared" ref="J210:M211" si="19">I210*1.05</f>
        <v>929.25</v>
      </c>
      <c r="K210" s="119">
        <f t="shared" si="19"/>
        <v>975.71250000000009</v>
      </c>
      <c r="L210" s="119">
        <f t="shared" si="19"/>
        <v>1024.4981250000001</v>
      </c>
      <c r="M210" s="119">
        <f t="shared" si="19"/>
        <v>1075.7230312500001</v>
      </c>
    </row>
    <row r="211" spans="1:14" ht="12.75">
      <c r="A211" s="113" t="s">
        <v>194</v>
      </c>
      <c r="B211" s="114" t="s">
        <v>30</v>
      </c>
      <c r="C211" s="115">
        <v>1</v>
      </c>
      <c r="D211" s="131"/>
      <c r="E211" s="131"/>
      <c r="F211" s="131"/>
      <c r="G211" s="117">
        <v>1529.4</v>
      </c>
      <c r="H211" s="119">
        <v>2062.4</v>
      </c>
      <c r="I211" s="119">
        <v>2178.1999999999998</v>
      </c>
      <c r="J211" s="119">
        <f t="shared" si="19"/>
        <v>2287.11</v>
      </c>
      <c r="K211" s="119">
        <f t="shared" si="19"/>
        <v>2401.4655000000002</v>
      </c>
      <c r="L211" s="119">
        <f t="shared" si="19"/>
        <v>2521.5387750000004</v>
      </c>
      <c r="M211" s="119">
        <f t="shared" si="19"/>
        <v>2647.6157137500004</v>
      </c>
    </row>
    <row r="212" spans="1:14" ht="14.25">
      <c r="A212" s="124" t="s">
        <v>195</v>
      </c>
      <c r="B212" s="114"/>
      <c r="C212" s="115"/>
      <c r="D212" s="131"/>
      <c r="E212" s="131"/>
      <c r="F212" s="131"/>
      <c r="G212" s="117"/>
      <c r="H212" s="119"/>
      <c r="I212" s="119"/>
      <c r="J212" s="119"/>
      <c r="K212" s="119"/>
      <c r="L212" s="119"/>
      <c r="M212" s="119"/>
    </row>
    <row r="213" spans="1:14" ht="21">
      <c r="A213" s="113" t="s">
        <v>196</v>
      </c>
      <c r="B213" s="114" t="s">
        <v>197</v>
      </c>
      <c r="C213" s="115">
        <v>1</v>
      </c>
      <c r="D213" s="116"/>
      <c r="E213" s="116"/>
      <c r="F213" s="116"/>
      <c r="G213" s="117">
        <v>670</v>
      </c>
      <c r="H213" s="119">
        <v>670</v>
      </c>
      <c r="I213" s="119">
        <v>670</v>
      </c>
      <c r="J213" s="119">
        <f>I213+50+50</f>
        <v>770</v>
      </c>
      <c r="K213" s="119">
        <f>J213+50+50</f>
        <v>870</v>
      </c>
      <c r="L213" s="119">
        <f>K213+100</f>
        <v>970</v>
      </c>
      <c r="M213" s="119">
        <f>L213</f>
        <v>970</v>
      </c>
    </row>
    <row r="214" spans="1:14" ht="21">
      <c r="A214" s="182" t="s">
        <v>198</v>
      </c>
      <c r="B214" s="114"/>
      <c r="C214" s="115"/>
      <c r="D214" s="131"/>
      <c r="E214" s="131"/>
      <c r="F214" s="131"/>
      <c r="G214" s="146"/>
      <c r="H214" s="119"/>
      <c r="I214" s="119"/>
      <c r="J214" s="119"/>
      <c r="K214" s="119"/>
      <c r="L214" s="119"/>
      <c r="M214" s="119"/>
    </row>
    <row r="215" spans="1:14" ht="24.75" customHeight="1">
      <c r="A215" s="136" t="s">
        <v>199</v>
      </c>
      <c r="B215" s="114" t="s">
        <v>197</v>
      </c>
      <c r="C215" s="115">
        <v>1</v>
      </c>
      <c r="D215" s="131"/>
      <c r="E215" s="131"/>
      <c r="F215" s="131"/>
      <c r="G215" s="117">
        <v>9622</v>
      </c>
      <c r="H215" s="162">
        <v>10073</v>
      </c>
      <c r="I215" s="162">
        <v>10013</v>
      </c>
      <c r="J215" s="162">
        <v>10069</v>
      </c>
      <c r="K215" s="119">
        <v>10023</v>
      </c>
      <c r="L215" s="119">
        <v>10023</v>
      </c>
      <c r="M215" s="119">
        <v>10023</v>
      </c>
    </row>
    <row r="216" spans="1:14" ht="12.75">
      <c r="A216" s="136" t="s">
        <v>200</v>
      </c>
      <c r="B216" s="114" t="s">
        <v>197</v>
      </c>
      <c r="C216" s="115">
        <v>1</v>
      </c>
      <c r="D216" s="131"/>
      <c r="E216" s="178"/>
      <c r="F216" s="131"/>
      <c r="G216" s="117">
        <f>704+9</f>
        <v>713</v>
      </c>
      <c r="H216" s="119">
        <f>10566-H215</f>
        <v>493</v>
      </c>
      <c r="I216" s="119">
        <f>103+346</f>
        <v>449</v>
      </c>
      <c r="J216" s="119">
        <v>445</v>
      </c>
      <c r="K216" s="119">
        <v>445</v>
      </c>
      <c r="L216" s="119">
        <v>445</v>
      </c>
      <c r="M216" s="119">
        <v>445</v>
      </c>
    </row>
    <row r="217" spans="1:14" ht="12.75">
      <c r="A217" s="136" t="s">
        <v>201</v>
      </c>
      <c r="B217" s="114" t="s">
        <v>197</v>
      </c>
      <c r="C217" s="115">
        <v>1</v>
      </c>
      <c r="D217" s="131"/>
      <c r="E217" s="131"/>
      <c r="F217" s="131"/>
      <c r="G217" s="117"/>
      <c r="H217" s="119">
        <v>0</v>
      </c>
      <c r="I217" s="119">
        <v>0</v>
      </c>
      <c r="J217" s="119">
        <v>0</v>
      </c>
      <c r="K217" s="119">
        <v>0</v>
      </c>
      <c r="L217" s="119">
        <v>0</v>
      </c>
      <c r="M217" s="119">
        <v>0</v>
      </c>
    </row>
    <row r="218" spans="1:14" ht="42">
      <c r="A218" s="113" t="s">
        <v>202</v>
      </c>
      <c r="B218" s="114" t="s">
        <v>203</v>
      </c>
      <c r="C218" s="115">
        <v>1</v>
      </c>
      <c r="D218" s="131"/>
      <c r="E218" s="131"/>
      <c r="F218" s="131"/>
      <c r="G218" s="117">
        <f>7255/9622*100</f>
        <v>75.400124714196636</v>
      </c>
      <c r="H218" s="118">
        <f>7827/H215*100</f>
        <v>77.702769780601614</v>
      </c>
      <c r="I218" s="118">
        <f>7683/I215*100</f>
        <v>76.730250674123639</v>
      </c>
      <c r="J218" s="118">
        <f>7979/J215*100</f>
        <v>79.243221769788462</v>
      </c>
      <c r="K218" s="119">
        <v>77.7</v>
      </c>
      <c r="L218" s="119">
        <v>78.5</v>
      </c>
      <c r="M218" s="119">
        <v>78.5</v>
      </c>
    </row>
    <row r="219" spans="1:14" ht="19.5">
      <c r="A219" s="151" t="s">
        <v>204</v>
      </c>
      <c r="B219" s="183" t="s">
        <v>205</v>
      </c>
      <c r="C219" s="115">
        <v>1</v>
      </c>
      <c r="D219" s="131"/>
      <c r="E219" s="131"/>
      <c r="F219" s="131"/>
      <c r="G219" s="117">
        <v>18.04</v>
      </c>
      <c r="H219" s="119">
        <v>20.6</v>
      </c>
      <c r="I219" s="119">
        <v>20.7</v>
      </c>
      <c r="J219" s="119">
        <v>21.45</v>
      </c>
      <c r="K219" s="119">
        <v>21.45</v>
      </c>
      <c r="L219" s="119">
        <v>21.45</v>
      </c>
      <c r="M219" s="119">
        <v>21.45</v>
      </c>
    </row>
    <row r="220" spans="1:14" ht="13.5" customHeight="1">
      <c r="A220" s="113" t="s">
        <v>206</v>
      </c>
      <c r="B220" s="183"/>
      <c r="C220" s="115"/>
      <c r="D220" s="131"/>
      <c r="E220" s="131"/>
      <c r="F220" s="131"/>
      <c r="G220" s="117"/>
      <c r="H220" s="119"/>
      <c r="I220" s="119"/>
      <c r="J220" s="119"/>
      <c r="K220" s="119"/>
      <c r="L220" s="119"/>
      <c r="M220" s="119"/>
    </row>
    <row r="221" spans="1:14" ht="19.5">
      <c r="A221" s="136" t="s">
        <v>207</v>
      </c>
      <c r="B221" s="183" t="s">
        <v>205</v>
      </c>
      <c r="C221" s="115">
        <v>1</v>
      </c>
      <c r="D221" s="131"/>
      <c r="E221" s="131"/>
      <c r="F221" s="131"/>
      <c r="G221" s="184" t="s">
        <v>40</v>
      </c>
      <c r="H221" s="119">
        <v>1.56</v>
      </c>
      <c r="I221" s="119">
        <f>1450.72/1000</f>
        <v>1.45072</v>
      </c>
      <c r="J221" s="119">
        <f>1475.72/1000</f>
        <v>1.4757199999999999</v>
      </c>
      <c r="K221" s="119">
        <f>1475.72/1000</f>
        <v>1.4757199999999999</v>
      </c>
      <c r="L221" s="119">
        <f>1475.72/1000</f>
        <v>1.4757199999999999</v>
      </c>
      <c r="M221" s="119">
        <f>1475.72/1000</f>
        <v>1.4757199999999999</v>
      </c>
    </row>
    <row r="222" spans="1:14" ht="27" customHeight="1">
      <c r="A222" s="136" t="s">
        <v>208</v>
      </c>
      <c r="B222" s="183" t="s">
        <v>205</v>
      </c>
      <c r="C222" s="115">
        <v>1</v>
      </c>
      <c r="D222" s="131"/>
      <c r="E222" s="131"/>
      <c r="F222" s="131"/>
      <c r="G222" s="184" t="s">
        <v>40</v>
      </c>
      <c r="H222" s="119" t="s">
        <v>40</v>
      </c>
      <c r="I222" s="119"/>
      <c r="J222" s="119"/>
      <c r="K222" s="119"/>
      <c r="L222" s="119"/>
      <c r="M222" s="119"/>
    </row>
    <row r="223" spans="1:14" ht="39" customHeight="1">
      <c r="A223" s="136" t="s">
        <v>209</v>
      </c>
      <c r="B223" s="183" t="s">
        <v>205</v>
      </c>
      <c r="C223" s="115">
        <v>1</v>
      </c>
      <c r="D223" s="131"/>
      <c r="E223" s="131"/>
      <c r="F223" s="131"/>
      <c r="G223" s="117">
        <v>18.04</v>
      </c>
      <c r="H223" s="119">
        <v>19.04</v>
      </c>
      <c r="I223" s="119">
        <v>20.7</v>
      </c>
      <c r="J223" s="119">
        <v>20.399999999999999</v>
      </c>
      <c r="K223" s="119">
        <v>20.399999999999999</v>
      </c>
      <c r="L223" s="119">
        <v>20.6</v>
      </c>
      <c r="M223" s="119">
        <v>20.6</v>
      </c>
      <c r="N223" s="185"/>
    </row>
    <row r="224" spans="1:14" ht="12.75">
      <c r="A224" s="186" t="s">
        <v>137</v>
      </c>
      <c r="B224" s="120"/>
      <c r="C224" s="115"/>
      <c r="D224" s="131"/>
      <c r="E224" s="131"/>
      <c r="F224" s="131"/>
      <c r="G224" s="117"/>
      <c r="H224" s="119"/>
      <c r="I224" s="119"/>
      <c r="J224" s="119"/>
      <c r="K224" s="119"/>
      <c r="L224" s="119"/>
      <c r="M224" s="119"/>
    </row>
    <row r="225" spans="1:18" ht="35.25" customHeight="1">
      <c r="A225" s="136" t="s">
        <v>210</v>
      </c>
      <c r="B225" s="114" t="s">
        <v>211</v>
      </c>
      <c r="C225" s="115">
        <v>1</v>
      </c>
      <c r="D225" s="131"/>
      <c r="E225" s="131"/>
      <c r="F225" s="131"/>
      <c r="G225" s="117">
        <f>1154.44/G6</f>
        <v>18.30120481927711</v>
      </c>
      <c r="H225" s="118">
        <v>17.899999999999999</v>
      </c>
      <c r="I225" s="118">
        <v>18.899999999999999</v>
      </c>
      <c r="J225" s="118">
        <v>19</v>
      </c>
      <c r="K225" s="119">
        <v>18.600000000000001</v>
      </c>
      <c r="L225" s="119">
        <v>18.8</v>
      </c>
      <c r="M225" s="119">
        <v>18.93</v>
      </c>
    </row>
    <row r="226" spans="1:18" ht="35.25" customHeight="1">
      <c r="A226" s="136" t="s">
        <v>212</v>
      </c>
      <c r="B226" s="114" t="s">
        <v>213</v>
      </c>
      <c r="C226" s="115">
        <v>1</v>
      </c>
      <c r="D226" s="131"/>
      <c r="E226" s="131"/>
      <c r="F226" s="131"/>
      <c r="G226" s="161">
        <v>338642.9</v>
      </c>
      <c r="H226" s="173">
        <v>404912</v>
      </c>
      <c r="I226" s="173">
        <v>421108.48000000004</v>
      </c>
      <c r="J226" s="173">
        <v>455470.93196800002</v>
      </c>
      <c r="K226" s="173">
        <f>J226*1.04</f>
        <v>473689.76924672001</v>
      </c>
      <c r="L226" s="173">
        <f>K226*1.04</f>
        <v>492637.36001658882</v>
      </c>
      <c r="M226" s="173">
        <f>L226*1.04</f>
        <v>512342.85441725241</v>
      </c>
      <c r="N226" s="167"/>
    </row>
    <row r="227" spans="1:18" ht="35.25" customHeight="1">
      <c r="A227" s="136" t="s">
        <v>214</v>
      </c>
      <c r="B227" s="114" t="s">
        <v>188</v>
      </c>
      <c r="C227" s="115">
        <v>1</v>
      </c>
      <c r="D227" s="131"/>
      <c r="E227" s="131"/>
      <c r="F227" s="131"/>
      <c r="G227" s="187">
        <v>76.3</v>
      </c>
      <c r="H227" s="119">
        <v>40.75</v>
      </c>
      <c r="I227" s="119">
        <v>47.1</v>
      </c>
      <c r="J227" s="119">
        <v>49</v>
      </c>
      <c r="K227" s="119">
        <v>49</v>
      </c>
      <c r="L227" s="119">
        <v>49.8</v>
      </c>
      <c r="M227" s="119">
        <v>55</v>
      </c>
    </row>
    <row r="228" spans="1:18" ht="35.25" customHeight="1">
      <c r="A228" s="113" t="s">
        <v>215</v>
      </c>
      <c r="B228" s="114" t="s">
        <v>216</v>
      </c>
      <c r="C228" s="115">
        <v>1</v>
      </c>
      <c r="D228" s="131"/>
      <c r="E228" s="131"/>
      <c r="F228" s="131"/>
      <c r="G228" s="117">
        <v>7.78</v>
      </c>
      <c r="H228" s="119">
        <v>8.27</v>
      </c>
      <c r="I228" s="119">
        <v>8.61</v>
      </c>
      <c r="J228" s="119">
        <v>8.66</v>
      </c>
      <c r="K228" s="119">
        <f>J228+0.05</f>
        <v>8.7100000000000009</v>
      </c>
      <c r="L228" s="119">
        <f>K228+0.05</f>
        <v>8.7600000000000016</v>
      </c>
      <c r="M228" s="119">
        <f>L228+0.05</f>
        <v>8.8100000000000023</v>
      </c>
    </row>
    <row r="229" spans="1:18" ht="35.25" customHeight="1">
      <c r="A229" s="113" t="s">
        <v>215</v>
      </c>
      <c r="B229" s="114" t="s">
        <v>217</v>
      </c>
      <c r="C229" s="115">
        <v>1</v>
      </c>
      <c r="D229" s="131"/>
      <c r="E229" s="131"/>
      <c r="F229" s="131"/>
      <c r="G229" s="188">
        <f t="shared" ref="G229:M229" si="20">G228/G6*1000</f>
        <v>123.33544705136336</v>
      </c>
      <c r="H229" s="119">
        <v>123.80239520958084</v>
      </c>
      <c r="I229" s="119">
        <v>126.431718061674</v>
      </c>
      <c r="J229" s="119">
        <v>124.78386167146977</v>
      </c>
      <c r="K229" s="119">
        <f>K228/K6*1000</f>
        <v>124.9282845668388</v>
      </c>
      <c r="L229" s="119">
        <f t="shared" si="20"/>
        <v>123.17210348706413</v>
      </c>
      <c r="M229" s="119">
        <f t="shared" si="20"/>
        <v>121.48372862658579</v>
      </c>
    </row>
    <row r="230" spans="1:18" ht="12.75">
      <c r="A230" s="189" t="s">
        <v>218</v>
      </c>
      <c r="B230" s="190" t="s">
        <v>213</v>
      </c>
      <c r="C230" s="191"/>
      <c r="D230" s="192"/>
      <c r="E230" s="193"/>
      <c r="F230" s="191"/>
      <c r="G230" s="194"/>
      <c r="H230" s="195">
        <v>640662</v>
      </c>
      <c r="I230" s="195">
        <v>673938.19</v>
      </c>
      <c r="J230" s="195">
        <v>752632</v>
      </c>
      <c r="K230" s="195">
        <v>752632</v>
      </c>
      <c r="L230" s="195">
        <v>829109</v>
      </c>
      <c r="M230" s="195">
        <v>914412</v>
      </c>
      <c r="N230" s="137"/>
      <c r="O230" s="137"/>
      <c r="P230" s="137"/>
      <c r="Q230" s="137"/>
      <c r="R230" s="137"/>
    </row>
    <row r="231" spans="1:18" ht="12.75">
      <c r="A231" s="113" t="s">
        <v>14</v>
      </c>
      <c r="B231" s="120" t="s">
        <v>15</v>
      </c>
      <c r="C231" s="191"/>
      <c r="D231" s="192"/>
      <c r="E231" s="193"/>
      <c r="F231" s="191"/>
      <c r="G231" s="194"/>
      <c r="H231" s="196">
        <v>96.331531236754259</v>
      </c>
      <c r="I231" s="196">
        <v>104.76239239490819</v>
      </c>
      <c r="J231" s="196">
        <v>94.161958568738228</v>
      </c>
      <c r="K231" s="196">
        <f>K230/J230*100/K232*100</f>
        <v>94.161958568738228</v>
      </c>
      <c r="L231" s="196">
        <f>L230/K230*100/L232*100</f>
        <v>103.73001321624375</v>
      </c>
      <c r="M231" s="196">
        <f>M230/L230*100/M232*100</f>
        <v>104.24245230424904</v>
      </c>
    </row>
    <row r="232" spans="1:18" ht="12.75">
      <c r="A232" s="113" t="s">
        <v>16</v>
      </c>
      <c r="B232" s="120" t="s">
        <v>15</v>
      </c>
      <c r="C232" s="191"/>
      <c r="D232" s="192"/>
      <c r="E232" s="193"/>
      <c r="F232" s="191"/>
      <c r="G232" s="194"/>
      <c r="H232" s="196">
        <v>109.2</v>
      </c>
      <c r="I232" s="196">
        <v>106.6</v>
      </c>
      <c r="J232" s="196">
        <v>106.2</v>
      </c>
      <c r="K232" s="196">
        <v>106.2</v>
      </c>
      <c r="L232" s="196">
        <v>106.2</v>
      </c>
      <c r="M232" s="196">
        <v>105.8</v>
      </c>
    </row>
    <row r="233" spans="1:18" ht="18.75">
      <c r="A233" s="197"/>
      <c r="B233" s="198"/>
      <c r="C233" s="199"/>
      <c r="D233" s="200"/>
      <c r="E233" s="201"/>
      <c r="F233" s="199"/>
      <c r="L233" s="202"/>
      <c r="M233" s="202"/>
    </row>
    <row r="234" spans="1:18" ht="28.5" customHeight="1">
      <c r="A234" s="379" t="s">
        <v>219</v>
      </c>
      <c r="B234" s="379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  <c r="M234" s="379"/>
      <c r="N234" s="379"/>
      <c r="O234" s="379"/>
    </row>
    <row r="235" spans="1:18" ht="16.5" customHeight="1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</row>
    <row r="236" spans="1:18" ht="16.5" customHeight="1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</row>
    <row r="237" spans="1:18" ht="16.5" customHeight="1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</row>
    <row r="238" spans="1:18" ht="56.25" customHeight="1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</row>
    <row r="239" spans="1:18" ht="56.25" customHeight="1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</row>
    <row r="240" spans="1:18" ht="56.25" customHeight="1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</row>
    <row r="241" spans="1:13" ht="56.25" customHeight="1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</row>
    <row r="242" spans="1:13" ht="56.25" customHeight="1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</row>
    <row r="243" spans="1:13" ht="18.75">
      <c r="A243" s="204"/>
      <c r="B243" s="198"/>
      <c r="C243" s="199"/>
      <c r="D243" s="200"/>
      <c r="E243" s="201"/>
      <c r="F243" s="199"/>
      <c r="G243" s="202"/>
      <c r="H243" s="202"/>
      <c r="I243" s="202"/>
      <c r="J243" s="202"/>
      <c r="K243" s="202"/>
      <c r="L243" s="202"/>
      <c r="M243" s="202"/>
    </row>
    <row r="244" spans="1:13" ht="18.75">
      <c r="A244" s="204"/>
      <c r="B244" s="198"/>
      <c r="C244" s="199"/>
      <c r="D244" s="200"/>
      <c r="E244" s="201"/>
      <c r="F244" s="199"/>
      <c r="G244" s="202"/>
      <c r="H244" s="202"/>
      <c r="I244" s="202"/>
      <c r="J244" s="202"/>
      <c r="K244" s="202"/>
      <c r="L244" s="202"/>
      <c r="M244" s="202"/>
    </row>
    <row r="245" spans="1:13" ht="18.75">
      <c r="A245" s="204"/>
      <c r="B245" s="198"/>
      <c r="C245" s="199"/>
      <c r="D245" s="200"/>
      <c r="E245" s="201"/>
      <c r="F245" s="199"/>
      <c r="G245" s="202"/>
      <c r="H245" s="202"/>
      <c r="I245" s="202"/>
      <c r="J245" s="202"/>
      <c r="K245" s="202"/>
      <c r="L245" s="202"/>
      <c r="M245" s="202"/>
    </row>
    <row r="246" spans="1:13" ht="18.75">
      <c r="A246" s="204"/>
      <c r="B246" s="198"/>
      <c r="C246" s="199"/>
      <c r="D246" s="200"/>
      <c r="E246" s="201"/>
      <c r="F246" s="199"/>
      <c r="G246" s="202"/>
      <c r="H246" s="202"/>
      <c r="I246" s="202"/>
      <c r="J246" s="202"/>
      <c r="K246" s="202"/>
      <c r="L246" s="202"/>
      <c r="M246" s="202"/>
    </row>
    <row r="247" spans="1:13" ht="18.75">
      <c r="A247" s="204"/>
      <c r="B247" s="198"/>
      <c r="C247" s="199"/>
      <c r="D247" s="200"/>
      <c r="E247" s="201"/>
      <c r="F247" s="199"/>
      <c r="G247" s="202"/>
      <c r="H247" s="202"/>
      <c r="I247" s="202"/>
      <c r="J247" s="202"/>
      <c r="K247" s="202"/>
      <c r="L247" s="202"/>
      <c r="M247" s="202"/>
    </row>
    <row r="248" spans="1:13">
      <c r="A248" s="198"/>
      <c r="B248" s="198"/>
      <c r="C248" s="199"/>
      <c r="D248" s="200"/>
      <c r="E248" s="201"/>
      <c r="F248" s="199"/>
      <c r="G248" s="202"/>
      <c r="H248" s="202"/>
      <c r="I248" s="202"/>
      <c r="J248" s="202"/>
      <c r="K248" s="202"/>
      <c r="L248" s="202"/>
      <c r="M248" s="202"/>
    </row>
    <row r="249" spans="1:13">
      <c r="A249" s="198"/>
      <c r="B249" s="198"/>
      <c r="C249" s="199"/>
      <c r="D249" s="200"/>
      <c r="E249" s="201"/>
      <c r="F249" s="199"/>
      <c r="G249" s="202"/>
      <c r="H249" s="202"/>
      <c r="I249" s="202"/>
      <c r="J249" s="202"/>
      <c r="K249" s="202"/>
      <c r="L249" s="202"/>
      <c r="M249" s="202"/>
    </row>
    <row r="250" spans="1:13">
      <c r="A250" s="198"/>
      <c r="B250" s="198"/>
      <c r="C250" s="199"/>
      <c r="D250" s="200"/>
      <c r="E250" s="201"/>
      <c r="F250" s="199"/>
      <c r="G250" s="202"/>
      <c r="H250" s="202"/>
      <c r="I250" s="202"/>
      <c r="J250" s="202"/>
      <c r="K250" s="202"/>
      <c r="L250" s="202"/>
      <c r="M250" s="202"/>
    </row>
    <row r="251" spans="1:13" ht="12.75">
      <c r="A251" s="198"/>
      <c r="B251" s="198"/>
      <c r="C251" s="199"/>
      <c r="D251" s="200"/>
      <c r="E251" s="201"/>
      <c r="F251" s="199"/>
      <c r="G251" s="205">
        <v>77.86</v>
      </c>
      <c r="H251" s="206">
        <v>80.400000000000006</v>
      </c>
      <c r="I251" s="207"/>
      <c r="J251" s="207">
        <f>80.4+1.35</f>
        <v>81.75</v>
      </c>
      <c r="K251" s="207"/>
      <c r="L251" s="208">
        <f>J251+1.45</f>
        <v>83.2</v>
      </c>
      <c r="M251" s="208"/>
    </row>
    <row r="252" spans="1:13">
      <c r="A252" s="198"/>
      <c r="B252" s="198"/>
      <c r="C252" s="199"/>
      <c r="D252" s="200"/>
      <c r="E252" s="201"/>
      <c r="F252" s="199"/>
      <c r="G252" s="202"/>
      <c r="H252" s="202"/>
      <c r="I252" s="202"/>
      <c r="J252" s="202"/>
      <c r="K252" s="202"/>
      <c r="L252" s="202"/>
      <c r="M252" s="202"/>
    </row>
    <row r="253" spans="1:13">
      <c r="A253" s="198"/>
      <c r="B253" s="198"/>
      <c r="C253" s="199"/>
      <c r="D253" s="200"/>
      <c r="E253" s="201"/>
      <c r="F253" s="199"/>
      <c r="G253" s="202"/>
      <c r="H253" s="202"/>
      <c r="I253" s="202"/>
      <c r="J253" s="202"/>
      <c r="K253" s="202"/>
      <c r="L253" s="202"/>
      <c r="M253" s="202"/>
    </row>
    <row r="254" spans="1:13">
      <c r="A254" s="198"/>
      <c r="B254" s="198"/>
      <c r="C254" s="199"/>
      <c r="D254" s="200"/>
      <c r="E254" s="201"/>
      <c r="F254" s="199"/>
      <c r="G254" s="202"/>
      <c r="H254" s="202"/>
      <c r="I254" s="202"/>
      <c r="J254" s="202"/>
      <c r="K254" s="202"/>
      <c r="L254" s="202"/>
      <c r="M254" s="202"/>
    </row>
    <row r="255" spans="1:13">
      <c r="A255" s="198"/>
      <c r="B255" s="198"/>
      <c r="C255" s="199"/>
      <c r="D255" s="200"/>
      <c r="E255" s="201"/>
      <c r="F255" s="199"/>
      <c r="G255" s="202"/>
      <c r="H255" s="202"/>
      <c r="I255" s="202"/>
      <c r="J255" s="202"/>
      <c r="K255" s="202"/>
      <c r="L255" s="202"/>
      <c r="M255" s="202"/>
    </row>
    <row r="256" spans="1:13">
      <c r="A256" s="198"/>
      <c r="B256" s="198"/>
      <c r="C256" s="199"/>
      <c r="D256" s="200"/>
      <c r="E256" s="201"/>
      <c r="F256" s="199"/>
      <c r="G256" s="202"/>
      <c r="H256" s="202"/>
      <c r="I256" s="202"/>
      <c r="J256" s="202"/>
      <c r="K256" s="202"/>
      <c r="L256" s="202"/>
      <c r="M256" s="202"/>
    </row>
    <row r="257" spans="1:13">
      <c r="A257" s="198"/>
      <c r="B257" s="198"/>
      <c r="C257" s="199"/>
      <c r="D257" s="200"/>
      <c r="E257" s="201"/>
      <c r="F257" s="199"/>
      <c r="G257" s="202"/>
      <c r="H257" s="202"/>
      <c r="I257" s="202"/>
      <c r="J257" s="202"/>
      <c r="K257" s="202"/>
      <c r="L257" s="202"/>
      <c r="M257" s="202"/>
    </row>
    <row r="258" spans="1:13">
      <c r="A258" s="198"/>
      <c r="B258" s="198"/>
      <c r="C258" s="199"/>
      <c r="D258" s="200"/>
      <c r="E258" s="201"/>
      <c r="F258" s="199"/>
      <c r="G258" s="202"/>
      <c r="H258" s="202"/>
      <c r="I258" s="202"/>
      <c r="J258" s="202"/>
      <c r="K258" s="202"/>
      <c r="L258" s="202"/>
      <c r="M258" s="202"/>
    </row>
    <row r="259" spans="1:13">
      <c r="A259" s="198"/>
      <c r="B259" s="198"/>
      <c r="C259" s="199"/>
      <c r="D259" s="200"/>
      <c r="E259" s="201"/>
      <c r="F259" s="199"/>
      <c r="G259" s="202"/>
      <c r="H259" s="202"/>
      <c r="I259" s="202"/>
      <c r="J259" s="202"/>
      <c r="K259" s="202"/>
      <c r="L259" s="202"/>
      <c r="M259" s="202"/>
    </row>
    <row r="260" spans="1:13">
      <c r="A260" s="198"/>
      <c r="B260" s="198"/>
      <c r="C260" s="199"/>
      <c r="D260" s="200"/>
      <c r="E260" s="201"/>
      <c r="F260" s="199"/>
      <c r="G260" s="202"/>
      <c r="H260" s="202"/>
      <c r="I260" s="202"/>
      <c r="J260" s="202"/>
      <c r="K260" s="202"/>
      <c r="L260" s="202"/>
      <c r="M260" s="202"/>
    </row>
    <row r="261" spans="1:13">
      <c r="A261" s="198"/>
      <c r="B261" s="198"/>
      <c r="C261" s="199"/>
      <c r="D261" s="200"/>
      <c r="E261" s="201"/>
      <c r="F261" s="199"/>
      <c r="G261" s="202"/>
      <c r="H261" s="202"/>
      <c r="I261" s="202"/>
      <c r="J261" s="202"/>
      <c r="K261" s="202"/>
      <c r="L261" s="202"/>
      <c r="M261" s="202"/>
    </row>
    <row r="262" spans="1:13">
      <c r="A262" s="198"/>
      <c r="B262" s="198"/>
      <c r="C262" s="199"/>
      <c r="D262" s="200"/>
      <c r="E262" s="201"/>
      <c r="F262" s="199"/>
      <c r="G262" s="202"/>
      <c r="H262" s="202"/>
      <c r="I262" s="202"/>
      <c r="J262" s="202"/>
      <c r="K262" s="202"/>
      <c r="L262" s="202"/>
      <c r="M262" s="202"/>
    </row>
    <row r="263" spans="1:13">
      <c r="A263" s="198"/>
      <c r="B263" s="198"/>
      <c r="C263" s="199"/>
      <c r="D263" s="200"/>
      <c r="E263" s="201"/>
      <c r="F263" s="199"/>
      <c r="G263" s="202"/>
      <c r="H263" s="202"/>
      <c r="I263" s="202"/>
      <c r="J263" s="202"/>
      <c r="K263" s="202"/>
      <c r="L263" s="202"/>
      <c r="M263" s="202"/>
    </row>
    <row r="264" spans="1:13">
      <c r="A264" s="198"/>
      <c r="B264" s="198"/>
      <c r="C264" s="199"/>
      <c r="D264" s="200"/>
      <c r="E264" s="201"/>
      <c r="F264" s="199"/>
      <c r="G264" s="202"/>
      <c r="H264" s="202"/>
      <c r="I264" s="202"/>
      <c r="J264" s="202"/>
      <c r="K264" s="202"/>
      <c r="L264" s="202"/>
      <c r="M264" s="202"/>
    </row>
    <row r="265" spans="1:13">
      <c r="A265" s="198"/>
      <c r="B265" s="198"/>
      <c r="C265" s="199"/>
      <c r="D265" s="200"/>
      <c r="E265" s="201"/>
      <c r="F265" s="199"/>
      <c r="G265" s="202"/>
      <c r="H265" s="202"/>
      <c r="I265" s="202"/>
      <c r="J265" s="202"/>
      <c r="K265" s="202"/>
      <c r="L265" s="202"/>
      <c r="M265" s="202"/>
    </row>
    <row r="266" spans="1:13">
      <c r="A266" s="198"/>
      <c r="B266" s="198"/>
      <c r="C266" s="199"/>
      <c r="D266" s="200"/>
      <c r="E266" s="201"/>
      <c r="F266" s="199"/>
      <c r="G266" s="202"/>
      <c r="H266" s="202"/>
      <c r="I266" s="202"/>
      <c r="J266" s="202"/>
      <c r="K266" s="202"/>
      <c r="L266" s="202"/>
      <c r="M266" s="202"/>
    </row>
    <row r="267" spans="1:13">
      <c r="A267" s="198"/>
      <c r="B267" s="198"/>
      <c r="C267" s="199"/>
      <c r="D267" s="200"/>
      <c r="E267" s="201"/>
      <c r="F267" s="199"/>
      <c r="G267" s="202"/>
      <c r="H267" s="202"/>
      <c r="I267" s="202"/>
      <c r="J267" s="202"/>
      <c r="K267" s="202"/>
      <c r="L267" s="202"/>
      <c r="M267" s="202"/>
    </row>
    <row r="268" spans="1:13">
      <c r="A268" s="198"/>
      <c r="B268" s="198"/>
      <c r="C268" s="199"/>
      <c r="D268" s="200"/>
      <c r="E268" s="201"/>
      <c r="F268" s="199"/>
      <c r="G268" s="202"/>
      <c r="H268" s="202"/>
      <c r="I268" s="202"/>
      <c r="J268" s="202"/>
      <c r="K268" s="202"/>
      <c r="L268" s="202"/>
      <c r="M268" s="202"/>
    </row>
    <row r="269" spans="1:13">
      <c r="A269" s="198"/>
      <c r="B269" s="198"/>
      <c r="C269" s="199"/>
      <c r="D269" s="200"/>
      <c r="E269" s="201"/>
      <c r="F269" s="199"/>
      <c r="G269" s="202"/>
      <c r="H269" s="202"/>
      <c r="I269" s="202"/>
      <c r="J269" s="202"/>
      <c r="K269" s="202"/>
      <c r="L269" s="202"/>
      <c r="M269" s="202"/>
    </row>
    <row r="270" spans="1:13">
      <c r="A270" s="198"/>
      <c r="B270" s="198"/>
      <c r="C270" s="199"/>
      <c r="D270" s="200"/>
      <c r="E270" s="201"/>
      <c r="F270" s="199"/>
      <c r="G270" s="202"/>
      <c r="H270" s="202"/>
      <c r="I270" s="202"/>
      <c r="J270" s="202"/>
      <c r="K270" s="202"/>
      <c r="L270" s="202"/>
      <c r="M270" s="202"/>
    </row>
    <row r="271" spans="1:13">
      <c r="A271" s="198"/>
      <c r="B271" s="198"/>
      <c r="C271" s="199"/>
      <c r="D271" s="200"/>
      <c r="E271" s="201"/>
      <c r="F271" s="199"/>
      <c r="G271" s="202"/>
      <c r="H271" s="202"/>
      <c r="I271" s="202"/>
      <c r="J271" s="202"/>
      <c r="K271" s="202"/>
      <c r="L271" s="202"/>
      <c r="M271" s="202"/>
    </row>
    <row r="272" spans="1:13">
      <c r="A272" s="198"/>
      <c r="B272" s="198"/>
      <c r="C272" s="199"/>
      <c r="D272" s="200"/>
      <c r="E272" s="201"/>
      <c r="F272" s="199"/>
      <c r="G272" s="202"/>
      <c r="H272" s="202"/>
      <c r="I272" s="202"/>
      <c r="J272" s="202"/>
      <c r="K272" s="202"/>
      <c r="L272" s="202"/>
      <c r="M272" s="202"/>
    </row>
    <row r="273" spans="1:13">
      <c r="A273" s="198"/>
      <c r="B273" s="198"/>
      <c r="C273" s="199"/>
      <c r="D273" s="200"/>
      <c r="E273" s="201"/>
      <c r="F273" s="199"/>
      <c r="G273" s="202"/>
      <c r="H273" s="202"/>
      <c r="I273" s="202"/>
      <c r="J273" s="202"/>
      <c r="K273" s="202"/>
      <c r="L273" s="202"/>
      <c r="M273" s="202"/>
    </row>
    <row r="274" spans="1:13">
      <c r="A274" s="198"/>
      <c r="B274" s="198"/>
      <c r="C274" s="199"/>
      <c r="D274" s="200"/>
      <c r="E274" s="201"/>
      <c r="F274" s="199"/>
      <c r="G274" s="202"/>
      <c r="H274" s="202"/>
      <c r="I274" s="202"/>
      <c r="J274" s="202"/>
      <c r="K274" s="202"/>
      <c r="L274" s="202"/>
      <c r="M274" s="202"/>
    </row>
    <row r="275" spans="1:13">
      <c r="A275" s="198"/>
      <c r="B275" s="198"/>
      <c r="C275" s="199"/>
      <c r="D275" s="200"/>
      <c r="E275" s="201"/>
      <c r="F275" s="199"/>
      <c r="G275" s="202"/>
      <c r="H275" s="202"/>
      <c r="I275" s="202"/>
      <c r="J275" s="202"/>
      <c r="K275" s="202"/>
      <c r="L275" s="202"/>
      <c r="M275" s="202"/>
    </row>
    <row r="276" spans="1:13">
      <c r="A276" s="198"/>
      <c r="B276" s="198"/>
      <c r="C276" s="199"/>
      <c r="D276" s="200"/>
      <c r="E276" s="201"/>
      <c r="F276" s="199"/>
      <c r="G276" s="202"/>
      <c r="H276" s="202"/>
      <c r="I276" s="202"/>
      <c r="J276" s="202"/>
      <c r="K276" s="202"/>
      <c r="L276" s="202"/>
      <c r="M276" s="202"/>
    </row>
    <row r="277" spans="1:13">
      <c r="A277" s="198"/>
      <c r="B277" s="198"/>
      <c r="C277" s="199"/>
      <c r="D277" s="200"/>
      <c r="E277" s="201"/>
      <c r="F277" s="199"/>
      <c r="G277" s="202"/>
      <c r="H277" s="202"/>
      <c r="I277" s="202"/>
      <c r="J277" s="202"/>
      <c r="K277" s="202"/>
      <c r="L277" s="202"/>
      <c r="M277" s="202"/>
    </row>
    <row r="278" spans="1:13">
      <c r="A278" s="198"/>
      <c r="B278" s="198"/>
      <c r="C278" s="199"/>
      <c r="D278" s="200"/>
      <c r="E278" s="201"/>
      <c r="F278" s="199"/>
      <c r="G278" s="202"/>
      <c r="H278" s="202"/>
      <c r="I278" s="202"/>
      <c r="J278" s="202"/>
      <c r="K278" s="202"/>
      <c r="L278" s="202"/>
      <c r="M278" s="202"/>
    </row>
    <row r="279" spans="1:13">
      <c r="A279" s="198"/>
      <c r="B279" s="198"/>
      <c r="C279" s="199"/>
      <c r="D279" s="200"/>
      <c r="E279" s="201"/>
      <c r="F279" s="199"/>
      <c r="G279" s="202"/>
      <c r="H279" s="202"/>
      <c r="I279" s="202"/>
      <c r="J279" s="202"/>
      <c r="K279" s="202"/>
      <c r="L279" s="202"/>
      <c r="M279" s="202"/>
    </row>
    <row r="280" spans="1:13">
      <c r="A280" s="198"/>
      <c r="B280" s="198"/>
      <c r="C280" s="199"/>
      <c r="D280" s="200"/>
      <c r="E280" s="201"/>
      <c r="F280" s="199"/>
      <c r="G280" s="202"/>
      <c r="H280" s="202"/>
      <c r="I280" s="202"/>
      <c r="J280" s="202"/>
      <c r="K280" s="202"/>
      <c r="L280" s="202"/>
      <c r="M280" s="202"/>
    </row>
    <row r="281" spans="1:13">
      <c r="A281" s="198"/>
      <c r="B281" s="198"/>
      <c r="C281" s="199"/>
      <c r="D281" s="200"/>
      <c r="E281" s="201"/>
      <c r="F281" s="199"/>
      <c r="G281" s="202"/>
      <c r="H281" s="202"/>
      <c r="I281" s="202"/>
      <c r="J281" s="202"/>
      <c r="K281" s="202"/>
      <c r="L281" s="202"/>
      <c r="M281" s="202"/>
    </row>
    <row r="282" spans="1:13">
      <c r="A282" s="198"/>
      <c r="B282" s="198"/>
      <c r="C282" s="199"/>
      <c r="D282" s="200"/>
      <c r="E282" s="201"/>
      <c r="F282" s="199"/>
      <c r="G282" s="202"/>
      <c r="H282" s="202"/>
      <c r="I282" s="202"/>
      <c r="J282" s="202"/>
      <c r="K282" s="202"/>
      <c r="L282" s="202"/>
      <c r="M282" s="202"/>
    </row>
    <row r="283" spans="1:13">
      <c r="A283" s="198"/>
      <c r="B283" s="198"/>
      <c r="C283" s="199"/>
      <c r="D283" s="200"/>
      <c r="E283" s="201"/>
      <c r="F283" s="199"/>
      <c r="G283" s="202"/>
      <c r="H283" s="202"/>
      <c r="I283" s="202"/>
      <c r="J283" s="202"/>
      <c r="K283" s="202"/>
      <c r="L283" s="202"/>
      <c r="M283" s="202"/>
    </row>
    <row r="284" spans="1:13">
      <c r="A284" s="198"/>
      <c r="B284" s="198"/>
      <c r="C284" s="199"/>
      <c r="D284" s="200"/>
      <c r="E284" s="201"/>
      <c r="F284" s="199"/>
      <c r="G284" s="202"/>
      <c r="H284" s="202"/>
      <c r="I284" s="202"/>
      <c r="J284" s="202"/>
      <c r="K284" s="202"/>
      <c r="L284" s="202"/>
      <c r="M284" s="202"/>
    </row>
    <row r="285" spans="1:13">
      <c r="A285" s="198"/>
      <c r="B285" s="198"/>
      <c r="C285" s="199"/>
      <c r="D285" s="200"/>
      <c r="E285" s="201"/>
      <c r="F285" s="199"/>
      <c r="G285" s="202"/>
      <c r="H285" s="202"/>
      <c r="I285" s="202"/>
      <c r="J285" s="202"/>
      <c r="K285" s="202"/>
      <c r="L285" s="202"/>
      <c r="M285" s="202"/>
    </row>
    <row r="286" spans="1:13">
      <c r="A286" s="198"/>
      <c r="B286" s="198"/>
      <c r="C286" s="199"/>
      <c r="D286" s="200"/>
      <c r="E286" s="201"/>
      <c r="F286" s="199"/>
      <c r="G286" s="202"/>
      <c r="H286" s="202"/>
      <c r="I286" s="202"/>
      <c r="J286" s="202"/>
      <c r="K286" s="202"/>
      <c r="L286" s="202"/>
      <c r="M286" s="202"/>
    </row>
    <row r="287" spans="1:13">
      <c r="A287" s="198"/>
      <c r="B287" s="198"/>
      <c r="C287" s="199"/>
      <c r="D287" s="200"/>
      <c r="E287" s="201"/>
      <c r="F287" s="199"/>
      <c r="G287" s="202"/>
      <c r="H287" s="202"/>
      <c r="I287" s="202"/>
      <c r="J287" s="202"/>
      <c r="K287" s="202"/>
      <c r="L287" s="202"/>
      <c r="M287" s="202"/>
    </row>
  </sheetData>
  <mergeCells count="12">
    <mergeCell ref="M3:M4"/>
    <mergeCell ref="A234:O234"/>
    <mergeCell ref="A1:M1"/>
    <mergeCell ref="A2:A4"/>
    <mergeCell ref="B2:B4"/>
    <mergeCell ref="K2:M2"/>
    <mergeCell ref="G3:G4"/>
    <mergeCell ref="H3:H4"/>
    <mergeCell ref="I3:I4"/>
    <mergeCell ref="J3:J4"/>
    <mergeCell ref="K3:K4"/>
    <mergeCell ref="L3:L4"/>
  </mergeCells>
  <conditionalFormatting sqref="G126:G127 A126:A127">
    <cfRule type="expression" dxfId="29" priority="6">
      <formula>#REF!&lt;#REF!</formula>
    </cfRule>
  </conditionalFormatting>
  <conditionalFormatting sqref="G146:G167">
    <cfRule type="expression" dxfId="28" priority="5">
      <formula>H$251&lt;&gt;SUM(H$252,H$256,H$261:H$266,H$271)</formula>
    </cfRule>
  </conditionalFormatting>
  <conditionalFormatting sqref="G151:G155">
    <cfRule type="expression" dxfId="27" priority="4">
      <formula>H$256&lt;&gt;SUM(H$257:H$260)</formula>
    </cfRule>
  </conditionalFormatting>
  <conditionalFormatting sqref="G161:G166">
    <cfRule type="expression" dxfId="26" priority="3">
      <formula>H$266&lt;&gt;SUM(H$267:H$270)</formula>
    </cfRule>
  </conditionalFormatting>
  <conditionalFormatting sqref="G122:G125">
    <cfRule type="expression" dxfId="25" priority="2">
      <formula>#REF!&lt;&gt;SUM(H$228:H$230)</formula>
    </cfRule>
  </conditionalFormatting>
  <conditionalFormatting sqref="G120:G121">
    <cfRule type="expression" dxfId="24" priority="1">
      <formula>G$225&lt;&gt;SUM(G$226:G$227)</formula>
    </cfRule>
  </conditionalFormatting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2"/>
  <sheetViews>
    <sheetView view="pageBreakPreview" zoomScale="85" zoomScaleNormal="85" zoomScaleSheetLayoutView="85" workbookViewId="0">
      <pane ySplit="4" topLeftCell="A5" activePane="bottomLeft" state="frozen"/>
      <selection pane="bottomLeft" activeCell="O24" sqref="O24"/>
    </sheetView>
  </sheetViews>
  <sheetFormatPr defaultColWidth="8.85546875" defaultRowHeight="12"/>
  <cols>
    <col min="1" max="1" width="45.140625" style="98" customWidth="1"/>
    <col min="2" max="2" width="12.42578125" style="98" customWidth="1"/>
    <col min="3" max="3" width="9.42578125" style="209" hidden="1" customWidth="1"/>
    <col min="4" max="4" width="5.140625" style="210" hidden="1" customWidth="1"/>
    <col min="5" max="5" width="6.28515625" style="211" hidden="1" customWidth="1"/>
    <col min="6" max="6" width="8.42578125" style="209" hidden="1" customWidth="1"/>
    <col min="7" max="7" width="10.85546875" style="98" hidden="1" customWidth="1"/>
    <col min="8" max="8" width="8.7109375" style="125" hidden="1" customWidth="1"/>
    <col min="9" max="11" width="8.7109375" style="125" customWidth="1"/>
    <col min="12" max="12" width="9.140625" style="125" customWidth="1"/>
    <col min="13" max="15" width="8.85546875" style="125" customWidth="1"/>
    <col min="16" max="16" width="14.7109375" style="98" customWidth="1"/>
    <col min="17" max="17" width="12.28515625" style="98" customWidth="1"/>
    <col min="18" max="19" width="7.140625" style="98" customWidth="1"/>
    <col min="20" max="258" width="8.85546875" style="98"/>
    <col min="259" max="259" width="50.28515625" style="98" customWidth="1"/>
    <col min="260" max="260" width="12.5703125" style="98" customWidth="1"/>
    <col min="261" max="265" width="0" style="98" hidden="1" customWidth="1"/>
    <col min="266" max="267" width="9.7109375" style="98" customWidth="1"/>
    <col min="268" max="269" width="10.7109375" style="98" customWidth="1"/>
    <col min="270" max="271" width="10.42578125" style="98" customWidth="1"/>
    <col min="272" max="272" width="7.140625" style="98" customWidth="1"/>
    <col min="273" max="273" width="12.28515625" style="98" customWidth="1"/>
    <col min="274" max="275" width="7.140625" style="98" customWidth="1"/>
    <col min="276" max="514" width="8.85546875" style="98"/>
    <col min="515" max="515" width="50.28515625" style="98" customWidth="1"/>
    <col min="516" max="516" width="12.5703125" style="98" customWidth="1"/>
    <col min="517" max="521" width="0" style="98" hidden="1" customWidth="1"/>
    <col min="522" max="523" width="9.7109375" style="98" customWidth="1"/>
    <col min="524" max="525" width="10.7109375" style="98" customWidth="1"/>
    <col min="526" max="527" width="10.42578125" style="98" customWidth="1"/>
    <col min="528" max="528" width="7.140625" style="98" customWidth="1"/>
    <col min="529" max="529" width="12.28515625" style="98" customWidth="1"/>
    <col min="530" max="531" width="7.140625" style="98" customWidth="1"/>
    <col min="532" max="770" width="8.85546875" style="98"/>
    <col min="771" max="771" width="50.28515625" style="98" customWidth="1"/>
    <col min="772" max="772" width="12.5703125" style="98" customWidth="1"/>
    <col min="773" max="777" width="0" style="98" hidden="1" customWidth="1"/>
    <col min="778" max="779" width="9.7109375" style="98" customWidth="1"/>
    <col min="780" max="781" width="10.7109375" style="98" customWidth="1"/>
    <col min="782" max="783" width="10.42578125" style="98" customWidth="1"/>
    <col min="784" max="784" width="7.140625" style="98" customWidth="1"/>
    <col min="785" max="785" width="12.28515625" style="98" customWidth="1"/>
    <col min="786" max="787" width="7.140625" style="98" customWidth="1"/>
    <col min="788" max="1026" width="8.85546875" style="98"/>
    <col min="1027" max="1027" width="50.28515625" style="98" customWidth="1"/>
    <col min="1028" max="1028" width="12.5703125" style="98" customWidth="1"/>
    <col min="1029" max="1033" width="0" style="98" hidden="1" customWidth="1"/>
    <col min="1034" max="1035" width="9.7109375" style="98" customWidth="1"/>
    <col min="1036" max="1037" width="10.7109375" style="98" customWidth="1"/>
    <col min="1038" max="1039" width="10.42578125" style="98" customWidth="1"/>
    <col min="1040" max="1040" width="7.140625" style="98" customWidth="1"/>
    <col min="1041" max="1041" width="12.28515625" style="98" customWidth="1"/>
    <col min="1042" max="1043" width="7.140625" style="98" customWidth="1"/>
    <col min="1044" max="1282" width="8.85546875" style="98"/>
    <col min="1283" max="1283" width="50.28515625" style="98" customWidth="1"/>
    <col min="1284" max="1284" width="12.5703125" style="98" customWidth="1"/>
    <col min="1285" max="1289" width="0" style="98" hidden="1" customWidth="1"/>
    <col min="1290" max="1291" width="9.7109375" style="98" customWidth="1"/>
    <col min="1292" max="1293" width="10.7109375" style="98" customWidth="1"/>
    <col min="1294" max="1295" width="10.42578125" style="98" customWidth="1"/>
    <col min="1296" max="1296" width="7.140625" style="98" customWidth="1"/>
    <col min="1297" max="1297" width="12.28515625" style="98" customWidth="1"/>
    <col min="1298" max="1299" width="7.140625" style="98" customWidth="1"/>
    <col min="1300" max="1538" width="8.85546875" style="98"/>
    <col min="1539" max="1539" width="50.28515625" style="98" customWidth="1"/>
    <col min="1540" max="1540" width="12.5703125" style="98" customWidth="1"/>
    <col min="1541" max="1545" width="0" style="98" hidden="1" customWidth="1"/>
    <col min="1546" max="1547" width="9.7109375" style="98" customWidth="1"/>
    <col min="1548" max="1549" width="10.7109375" style="98" customWidth="1"/>
    <col min="1550" max="1551" width="10.42578125" style="98" customWidth="1"/>
    <col min="1552" max="1552" width="7.140625" style="98" customWidth="1"/>
    <col min="1553" max="1553" width="12.28515625" style="98" customWidth="1"/>
    <col min="1554" max="1555" width="7.140625" style="98" customWidth="1"/>
    <col min="1556" max="1794" width="8.85546875" style="98"/>
    <col min="1795" max="1795" width="50.28515625" style="98" customWidth="1"/>
    <col min="1796" max="1796" width="12.5703125" style="98" customWidth="1"/>
    <col min="1797" max="1801" width="0" style="98" hidden="1" customWidth="1"/>
    <col min="1802" max="1803" width="9.7109375" style="98" customWidth="1"/>
    <col min="1804" max="1805" width="10.7109375" style="98" customWidth="1"/>
    <col min="1806" max="1807" width="10.42578125" style="98" customWidth="1"/>
    <col min="1808" max="1808" width="7.140625" style="98" customWidth="1"/>
    <col min="1809" max="1809" width="12.28515625" style="98" customWidth="1"/>
    <col min="1810" max="1811" width="7.140625" style="98" customWidth="1"/>
    <col min="1812" max="2050" width="8.85546875" style="98"/>
    <col min="2051" max="2051" width="50.28515625" style="98" customWidth="1"/>
    <col min="2052" max="2052" width="12.5703125" style="98" customWidth="1"/>
    <col min="2053" max="2057" width="0" style="98" hidden="1" customWidth="1"/>
    <col min="2058" max="2059" width="9.7109375" style="98" customWidth="1"/>
    <col min="2060" max="2061" width="10.7109375" style="98" customWidth="1"/>
    <col min="2062" max="2063" width="10.42578125" style="98" customWidth="1"/>
    <col min="2064" max="2064" width="7.140625" style="98" customWidth="1"/>
    <col min="2065" max="2065" width="12.28515625" style="98" customWidth="1"/>
    <col min="2066" max="2067" width="7.140625" style="98" customWidth="1"/>
    <col min="2068" max="2306" width="8.85546875" style="98"/>
    <col min="2307" max="2307" width="50.28515625" style="98" customWidth="1"/>
    <col min="2308" max="2308" width="12.5703125" style="98" customWidth="1"/>
    <col min="2309" max="2313" width="0" style="98" hidden="1" customWidth="1"/>
    <col min="2314" max="2315" width="9.7109375" style="98" customWidth="1"/>
    <col min="2316" max="2317" width="10.7109375" style="98" customWidth="1"/>
    <col min="2318" max="2319" width="10.42578125" style="98" customWidth="1"/>
    <col min="2320" max="2320" width="7.140625" style="98" customWidth="1"/>
    <col min="2321" max="2321" width="12.28515625" style="98" customWidth="1"/>
    <col min="2322" max="2323" width="7.140625" style="98" customWidth="1"/>
    <col min="2324" max="2562" width="8.85546875" style="98"/>
    <col min="2563" max="2563" width="50.28515625" style="98" customWidth="1"/>
    <col min="2564" max="2564" width="12.5703125" style="98" customWidth="1"/>
    <col min="2565" max="2569" width="0" style="98" hidden="1" customWidth="1"/>
    <col min="2570" max="2571" width="9.7109375" style="98" customWidth="1"/>
    <col min="2572" max="2573" width="10.7109375" style="98" customWidth="1"/>
    <col min="2574" max="2575" width="10.42578125" style="98" customWidth="1"/>
    <col min="2576" max="2576" width="7.140625" style="98" customWidth="1"/>
    <col min="2577" max="2577" width="12.28515625" style="98" customWidth="1"/>
    <col min="2578" max="2579" width="7.140625" style="98" customWidth="1"/>
    <col min="2580" max="2818" width="8.85546875" style="98"/>
    <col min="2819" max="2819" width="50.28515625" style="98" customWidth="1"/>
    <col min="2820" max="2820" width="12.5703125" style="98" customWidth="1"/>
    <col min="2821" max="2825" width="0" style="98" hidden="1" customWidth="1"/>
    <col min="2826" max="2827" width="9.7109375" style="98" customWidth="1"/>
    <col min="2828" max="2829" width="10.7109375" style="98" customWidth="1"/>
    <col min="2830" max="2831" width="10.42578125" style="98" customWidth="1"/>
    <col min="2832" max="2832" width="7.140625" style="98" customWidth="1"/>
    <col min="2833" max="2833" width="12.28515625" style="98" customWidth="1"/>
    <col min="2834" max="2835" width="7.140625" style="98" customWidth="1"/>
    <col min="2836" max="3074" width="8.85546875" style="98"/>
    <col min="3075" max="3075" width="50.28515625" style="98" customWidth="1"/>
    <col min="3076" max="3076" width="12.5703125" style="98" customWidth="1"/>
    <col min="3077" max="3081" width="0" style="98" hidden="1" customWidth="1"/>
    <col min="3082" max="3083" width="9.7109375" style="98" customWidth="1"/>
    <col min="3084" max="3085" width="10.7109375" style="98" customWidth="1"/>
    <col min="3086" max="3087" width="10.42578125" style="98" customWidth="1"/>
    <col min="3088" max="3088" width="7.140625" style="98" customWidth="1"/>
    <col min="3089" max="3089" width="12.28515625" style="98" customWidth="1"/>
    <col min="3090" max="3091" width="7.140625" style="98" customWidth="1"/>
    <col min="3092" max="3330" width="8.85546875" style="98"/>
    <col min="3331" max="3331" width="50.28515625" style="98" customWidth="1"/>
    <col min="3332" max="3332" width="12.5703125" style="98" customWidth="1"/>
    <col min="3333" max="3337" width="0" style="98" hidden="1" customWidth="1"/>
    <col min="3338" max="3339" width="9.7109375" style="98" customWidth="1"/>
    <col min="3340" max="3341" width="10.7109375" style="98" customWidth="1"/>
    <col min="3342" max="3343" width="10.42578125" style="98" customWidth="1"/>
    <col min="3344" max="3344" width="7.140625" style="98" customWidth="1"/>
    <col min="3345" max="3345" width="12.28515625" style="98" customWidth="1"/>
    <col min="3346" max="3347" width="7.140625" style="98" customWidth="1"/>
    <col min="3348" max="3586" width="8.85546875" style="98"/>
    <col min="3587" max="3587" width="50.28515625" style="98" customWidth="1"/>
    <col min="3588" max="3588" width="12.5703125" style="98" customWidth="1"/>
    <col min="3589" max="3593" width="0" style="98" hidden="1" customWidth="1"/>
    <col min="3594" max="3595" width="9.7109375" style="98" customWidth="1"/>
    <col min="3596" max="3597" width="10.7109375" style="98" customWidth="1"/>
    <col min="3598" max="3599" width="10.42578125" style="98" customWidth="1"/>
    <col min="3600" max="3600" width="7.140625" style="98" customWidth="1"/>
    <col min="3601" max="3601" width="12.28515625" style="98" customWidth="1"/>
    <col min="3602" max="3603" width="7.140625" style="98" customWidth="1"/>
    <col min="3604" max="3842" width="8.85546875" style="98"/>
    <col min="3843" max="3843" width="50.28515625" style="98" customWidth="1"/>
    <col min="3844" max="3844" width="12.5703125" style="98" customWidth="1"/>
    <col min="3845" max="3849" width="0" style="98" hidden="1" customWidth="1"/>
    <col min="3850" max="3851" width="9.7109375" style="98" customWidth="1"/>
    <col min="3852" max="3853" width="10.7109375" style="98" customWidth="1"/>
    <col min="3854" max="3855" width="10.42578125" style="98" customWidth="1"/>
    <col min="3856" max="3856" width="7.140625" style="98" customWidth="1"/>
    <col min="3857" max="3857" width="12.28515625" style="98" customWidth="1"/>
    <col min="3858" max="3859" width="7.140625" style="98" customWidth="1"/>
    <col min="3860" max="4098" width="8.85546875" style="98"/>
    <col min="4099" max="4099" width="50.28515625" style="98" customWidth="1"/>
    <col min="4100" max="4100" width="12.5703125" style="98" customWidth="1"/>
    <col min="4101" max="4105" width="0" style="98" hidden="1" customWidth="1"/>
    <col min="4106" max="4107" width="9.7109375" style="98" customWidth="1"/>
    <col min="4108" max="4109" width="10.7109375" style="98" customWidth="1"/>
    <col min="4110" max="4111" width="10.42578125" style="98" customWidth="1"/>
    <col min="4112" max="4112" width="7.140625" style="98" customWidth="1"/>
    <col min="4113" max="4113" width="12.28515625" style="98" customWidth="1"/>
    <col min="4114" max="4115" width="7.140625" style="98" customWidth="1"/>
    <col min="4116" max="4354" width="8.85546875" style="98"/>
    <col min="4355" max="4355" width="50.28515625" style="98" customWidth="1"/>
    <col min="4356" max="4356" width="12.5703125" style="98" customWidth="1"/>
    <col min="4357" max="4361" width="0" style="98" hidden="1" customWidth="1"/>
    <col min="4362" max="4363" width="9.7109375" style="98" customWidth="1"/>
    <col min="4364" max="4365" width="10.7109375" style="98" customWidth="1"/>
    <col min="4366" max="4367" width="10.42578125" style="98" customWidth="1"/>
    <col min="4368" max="4368" width="7.140625" style="98" customWidth="1"/>
    <col min="4369" max="4369" width="12.28515625" style="98" customWidth="1"/>
    <col min="4370" max="4371" width="7.140625" style="98" customWidth="1"/>
    <col min="4372" max="4610" width="8.85546875" style="98"/>
    <col min="4611" max="4611" width="50.28515625" style="98" customWidth="1"/>
    <col min="4612" max="4612" width="12.5703125" style="98" customWidth="1"/>
    <col min="4613" max="4617" width="0" style="98" hidden="1" customWidth="1"/>
    <col min="4618" max="4619" width="9.7109375" style="98" customWidth="1"/>
    <col min="4620" max="4621" width="10.7109375" style="98" customWidth="1"/>
    <col min="4622" max="4623" width="10.42578125" style="98" customWidth="1"/>
    <col min="4624" max="4624" width="7.140625" style="98" customWidth="1"/>
    <col min="4625" max="4625" width="12.28515625" style="98" customWidth="1"/>
    <col min="4626" max="4627" width="7.140625" style="98" customWidth="1"/>
    <col min="4628" max="4866" width="8.85546875" style="98"/>
    <col min="4867" max="4867" width="50.28515625" style="98" customWidth="1"/>
    <col min="4868" max="4868" width="12.5703125" style="98" customWidth="1"/>
    <col min="4869" max="4873" width="0" style="98" hidden="1" customWidth="1"/>
    <col min="4874" max="4875" width="9.7109375" style="98" customWidth="1"/>
    <col min="4876" max="4877" width="10.7109375" style="98" customWidth="1"/>
    <col min="4878" max="4879" width="10.42578125" style="98" customWidth="1"/>
    <col min="4880" max="4880" width="7.140625" style="98" customWidth="1"/>
    <col min="4881" max="4881" width="12.28515625" style="98" customWidth="1"/>
    <col min="4882" max="4883" width="7.140625" style="98" customWidth="1"/>
    <col min="4884" max="5122" width="8.85546875" style="98"/>
    <col min="5123" max="5123" width="50.28515625" style="98" customWidth="1"/>
    <col min="5124" max="5124" width="12.5703125" style="98" customWidth="1"/>
    <col min="5125" max="5129" width="0" style="98" hidden="1" customWidth="1"/>
    <col min="5130" max="5131" width="9.7109375" style="98" customWidth="1"/>
    <col min="5132" max="5133" width="10.7109375" style="98" customWidth="1"/>
    <col min="5134" max="5135" width="10.42578125" style="98" customWidth="1"/>
    <col min="5136" max="5136" width="7.140625" style="98" customWidth="1"/>
    <col min="5137" max="5137" width="12.28515625" style="98" customWidth="1"/>
    <col min="5138" max="5139" width="7.140625" style="98" customWidth="1"/>
    <col min="5140" max="5378" width="8.85546875" style="98"/>
    <col min="5379" max="5379" width="50.28515625" style="98" customWidth="1"/>
    <col min="5380" max="5380" width="12.5703125" style="98" customWidth="1"/>
    <col min="5381" max="5385" width="0" style="98" hidden="1" customWidth="1"/>
    <col min="5386" max="5387" width="9.7109375" style="98" customWidth="1"/>
    <col min="5388" max="5389" width="10.7109375" style="98" customWidth="1"/>
    <col min="5390" max="5391" width="10.42578125" style="98" customWidth="1"/>
    <col min="5392" max="5392" width="7.140625" style="98" customWidth="1"/>
    <col min="5393" max="5393" width="12.28515625" style="98" customWidth="1"/>
    <col min="5394" max="5395" width="7.140625" style="98" customWidth="1"/>
    <col min="5396" max="5634" width="8.85546875" style="98"/>
    <col min="5635" max="5635" width="50.28515625" style="98" customWidth="1"/>
    <col min="5636" max="5636" width="12.5703125" style="98" customWidth="1"/>
    <col min="5637" max="5641" width="0" style="98" hidden="1" customWidth="1"/>
    <col min="5642" max="5643" width="9.7109375" style="98" customWidth="1"/>
    <col min="5644" max="5645" width="10.7109375" style="98" customWidth="1"/>
    <col min="5646" max="5647" width="10.42578125" style="98" customWidth="1"/>
    <col min="5648" max="5648" width="7.140625" style="98" customWidth="1"/>
    <col min="5649" max="5649" width="12.28515625" style="98" customWidth="1"/>
    <col min="5650" max="5651" width="7.140625" style="98" customWidth="1"/>
    <col min="5652" max="5890" width="8.85546875" style="98"/>
    <col min="5891" max="5891" width="50.28515625" style="98" customWidth="1"/>
    <col min="5892" max="5892" width="12.5703125" style="98" customWidth="1"/>
    <col min="5893" max="5897" width="0" style="98" hidden="1" customWidth="1"/>
    <col min="5898" max="5899" width="9.7109375" style="98" customWidth="1"/>
    <col min="5900" max="5901" width="10.7109375" style="98" customWidth="1"/>
    <col min="5902" max="5903" width="10.42578125" style="98" customWidth="1"/>
    <col min="5904" max="5904" width="7.140625" style="98" customWidth="1"/>
    <col min="5905" max="5905" width="12.28515625" style="98" customWidth="1"/>
    <col min="5906" max="5907" width="7.140625" style="98" customWidth="1"/>
    <col min="5908" max="6146" width="8.85546875" style="98"/>
    <col min="6147" max="6147" width="50.28515625" style="98" customWidth="1"/>
    <col min="6148" max="6148" width="12.5703125" style="98" customWidth="1"/>
    <col min="6149" max="6153" width="0" style="98" hidden="1" customWidth="1"/>
    <col min="6154" max="6155" width="9.7109375" style="98" customWidth="1"/>
    <col min="6156" max="6157" width="10.7109375" style="98" customWidth="1"/>
    <col min="6158" max="6159" width="10.42578125" style="98" customWidth="1"/>
    <col min="6160" max="6160" width="7.140625" style="98" customWidth="1"/>
    <col min="6161" max="6161" width="12.28515625" style="98" customWidth="1"/>
    <col min="6162" max="6163" width="7.140625" style="98" customWidth="1"/>
    <col min="6164" max="6402" width="8.85546875" style="98"/>
    <col min="6403" max="6403" width="50.28515625" style="98" customWidth="1"/>
    <col min="6404" max="6404" width="12.5703125" style="98" customWidth="1"/>
    <col min="6405" max="6409" width="0" style="98" hidden="1" customWidth="1"/>
    <col min="6410" max="6411" width="9.7109375" style="98" customWidth="1"/>
    <col min="6412" max="6413" width="10.7109375" style="98" customWidth="1"/>
    <col min="6414" max="6415" width="10.42578125" style="98" customWidth="1"/>
    <col min="6416" max="6416" width="7.140625" style="98" customWidth="1"/>
    <col min="6417" max="6417" width="12.28515625" style="98" customWidth="1"/>
    <col min="6418" max="6419" width="7.140625" style="98" customWidth="1"/>
    <col min="6420" max="6658" width="8.85546875" style="98"/>
    <col min="6659" max="6659" width="50.28515625" style="98" customWidth="1"/>
    <col min="6660" max="6660" width="12.5703125" style="98" customWidth="1"/>
    <col min="6661" max="6665" width="0" style="98" hidden="1" customWidth="1"/>
    <col min="6666" max="6667" width="9.7109375" style="98" customWidth="1"/>
    <col min="6668" max="6669" width="10.7109375" style="98" customWidth="1"/>
    <col min="6670" max="6671" width="10.42578125" style="98" customWidth="1"/>
    <col min="6672" max="6672" width="7.140625" style="98" customWidth="1"/>
    <col min="6673" max="6673" width="12.28515625" style="98" customWidth="1"/>
    <col min="6674" max="6675" width="7.140625" style="98" customWidth="1"/>
    <col min="6676" max="6914" width="8.85546875" style="98"/>
    <col min="6915" max="6915" width="50.28515625" style="98" customWidth="1"/>
    <col min="6916" max="6916" width="12.5703125" style="98" customWidth="1"/>
    <col min="6917" max="6921" width="0" style="98" hidden="1" customWidth="1"/>
    <col min="6922" max="6923" width="9.7109375" style="98" customWidth="1"/>
    <col min="6924" max="6925" width="10.7109375" style="98" customWidth="1"/>
    <col min="6926" max="6927" width="10.42578125" style="98" customWidth="1"/>
    <col min="6928" max="6928" width="7.140625" style="98" customWidth="1"/>
    <col min="6929" max="6929" width="12.28515625" style="98" customWidth="1"/>
    <col min="6930" max="6931" width="7.140625" style="98" customWidth="1"/>
    <col min="6932" max="7170" width="8.85546875" style="98"/>
    <col min="7171" max="7171" width="50.28515625" style="98" customWidth="1"/>
    <col min="7172" max="7172" width="12.5703125" style="98" customWidth="1"/>
    <col min="7173" max="7177" width="0" style="98" hidden="1" customWidth="1"/>
    <col min="7178" max="7179" width="9.7109375" style="98" customWidth="1"/>
    <col min="7180" max="7181" width="10.7109375" style="98" customWidth="1"/>
    <col min="7182" max="7183" width="10.42578125" style="98" customWidth="1"/>
    <col min="7184" max="7184" width="7.140625" style="98" customWidth="1"/>
    <col min="7185" max="7185" width="12.28515625" style="98" customWidth="1"/>
    <col min="7186" max="7187" width="7.140625" style="98" customWidth="1"/>
    <col min="7188" max="7426" width="8.85546875" style="98"/>
    <col min="7427" max="7427" width="50.28515625" style="98" customWidth="1"/>
    <col min="7428" max="7428" width="12.5703125" style="98" customWidth="1"/>
    <col min="7429" max="7433" width="0" style="98" hidden="1" customWidth="1"/>
    <col min="7434" max="7435" width="9.7109375" style="98" customWidth="1"/>
    <col min="7436" max="7437" width="10.7109375" style="98" customWidth="1"/>
    <col min="7438" max="7439" width="10.42578125" style="98" customWidth="1"/>
    <col min="7440" max="7440" width="7.140625" style="98" customWidth="1"/>
    <col min="7441" max="7441" width="12.28515625" style="98" customWidth="1"/>
    <col min="7442" max="7443" width="7.140625" style="98" customWidth="1"/>
    <col min="7444" max="7682" width="8.85546875" style="98"/>
    <col min="7683" max="7683" width="50.28515625" style="98" customWidth="1"/>
    <col min="7684" max="7684" width="12.5703125" style="98" customWidth="1"/>
    <col min="7685" max="7689" width="0" style="98" hidden="1" customWidth="1"/>
    <col min="7690" max="7691" width="9.7109375" style="98" customWidth="1"/>
    <col min="7692" max="7693" width="10.7109375" style="98" customWidth="1"/>
    <col min="7694" max="7695" width="10.42578125" style="98" customWidth="1"/>
    <col min="7696" max="7696" width="7.140625" style="98" customWidth="1"/>
    <col min="7697" max="7697" width="12.28515625" style="98" customWidth="1"/>
    <col min="7698" max="7699" width="7.140625" style="98" customWidth="1"/>
    <col min="7700" max="7938" width="8.85546875" style="98"/>
    <col min="7939" max="7939" width="50.28515625" style="98" customWidth="1"/>
    <col min="7940" max="7940" width="12.5703125" style="98" customWidth="1"/>
    <col min="7941" max="7945" width="0" style="98" hidden="1" customWidth="1"/>
    <col min="7946" max="7947" width="9.7109375" style="98" customWidth="1"/>
    <col min="7948" max="7949" width="10.7109375" style="98" customWidth="1"/>
    <col min="7950" max="7951" width="10.42578125" style="98" customWidth="1"/>
    <col min="7952" max="7952" width="7.140625" style="98" customWidth="1"/>
    <col min="7953" max="7953" width="12.28515625" style="98" customWidth="1"/>
    <col min="7954" max="7955" width="7.140625" style="98" customWidth="1"/>
    <col min="7956" max="8194" width="8.85546875" style="98"/>
    <col min="8195" max="8195" width="50.28515625" style="98" customWidth="1"/>
    <col min="8196" max="8196" width="12.5703125" style="98" customWidth="1"/>
    <col min="8197" max="8201" width="0" style="98" hidden="1" customWidth="1"/>
    <col min="8202" max="8203" width="9.7109375" style="98" customWidth="1"/>
    <col min="8204" max="8205" width="10.7109375" style="98" customWidth="1"/>
    <col min="8206" max="8207" width="10.42578125" style="98" customWidth="1"/>
    <col min="8208" max="8208" width="7.140625" style="98" customWidth="1"/>
    <col min="8209" max="8209" width="12.28515625" style="98" customWidth="1"/>
    <col min="8210" max="8211" width="7.140625" style="98" customWidth="1"/>
    <col min="8212" max="8450" width="8.85546875" style="98"/>
    <col min="8451" max="8451" width="50.28515625" style="98" customWidth="1"/>
    <col min="8452" max="8452" width="12.5703125" style="98" customWidth="1"/>
    <col min="8453" max="8457" width="0" style="98" hidden="1" customWidth="1"/>
    <col min="8458" max="8459" width="9.7109375" style="98" customWidth="1"/>
    <col min="8460" max="8461" width="10.7109375" style="98" customWidth="1"/>
    <col min="8462" max="8463" width="10.42578125" style="98" customWidth="1"/>
    <col min="8464" max="8464" width="7.140625" style="98" customWidth="1"/>
    <col min="8465" max="8465" width="12.28515625" style="98" customWidth="1"/>
    <col min="8466" max="8467" width="7.140625" style="98" customWidth="1"/>
    <col min="8468" max="8706" width="8.85546875" style="98"/>
    <col min="8707" max="8707" width="50.28515625" style="98" customWidth="1"/>
    <col min="8708" max="8708" width="12.5703125" style="98" customWidth="1"/>
    <col min="8709" max="8713" width="0" style="98" hidden="1" customWidth="1"/>
    <col min="8714" max="8715" width="9.7109375" style="98" customWidth="1"/>
    <col min="8716" max="8717" width="10.7109375" style="98" customWidth="1"/>
    <col min="8718" max="8719" width="10.42578125" style="98" customWidth="1"/>
    <col min="8720" max="8720" width="7.140625" style="98" customWidth="1"/>
    <col min="8721" max="8721" width="12.28515625" style="98" customWidth="1"/>
    <col min="8722" max="8723" width="7.140625" style="98" customWidth="1"/>
    <col min="8724" max="8962" width="8.85546875" style="98"/>
    <col min="8963" max="8963" width="50.28515625" style="98" customWidth="1"/>
    <col min="8964" max="8964" width="12.5703125" style="98" customWidth="1"/>
    <col min="8965" max="8969" width="0" style="98" hidden="1" customWidth="1"/>
    <col min="8970" max="8971" width="9.7109375" style="98" customWidth="1"/>
    <col min="8972" max="8973" width="10.7109375" style="98" customWidth="1"/>
    <col min="8974" max="8975" width="10.42578125" style="98" customWidth="1"/>
    <col min="8976" max="8976" width="7.140625" style="98" customWidth="1"/>
    <col min="8977" max="8977" width="12.28515625" style="98" customWidth="1"/>
    <col min="8978" max="8979" width="7.140625" style="98" customWidth="1"/>
    <col min="8980" max="9218" width="8.85546875" style="98"/>
    <col min="9219" max="9219" width="50.28515625" style="98" customWidth="1"/>
    <col min="9220" max="9220" width="12.5703125" style="98" customWidth="1"/>
    <col min="9221" max="9225" width="0" style="98" hidden="1" customWidth="1"/>
    <col min="9226" max="9227" width="9.7109375" style="98" customWidth="1"/>
    <col min="9228" max="9229" width="10.7109375" style="98" customWidth="1"/>
    <col min="9230" max="9231" width="10.42578125" style="98" customWidth="1"/>
    <col min="9232" max="9232" width="7.140625" style="98" customWidth="1"/>
    <col min="9233" max="9233" width="12.28515625" style="98" customWidth="1"/>
    <col min="9234" max="9235" width="7.140625" style="98" customWidth="1"/>
    <col min="9236" max="9474" width="8.85546875" style="98"/>
    <col min="9475" max="9475" width="50.28515625" style="98" customWidth="1"/>
    <col min="9476" max="9476" width="12.5703125" style="98" customWidth="1"/>
    <col min="9477" max="9481" width="0" style="98" hidden="1" customWidth="1"/>
    <col min="9482" max="9483" width="9.7109375" style="98" customWidth="1"/>
    <col min="9484" max="9485" width="10.7109375" style="98" customWidth="1"/>
    <col min="9486" max="9487" width="10.42578125" style="98" customWidth="1"/>
    <col min="9488" max="9488" width="7.140625" style="98" customWidth="1"/>
    <col min="9489" max="9489" width="12.28515625" style="98" customWidth="1"/>
    <col min="9490" max="9491" width="7.140625" style="98" customWidth="1"/>
    <col min="9492" max="9730" width="8.85546875" style="98"/>
    <col min="9731" max="9731" width="50.28515625" style="98" customWidth="1"/>
    <col min="9732" max="9732" width="12.5703125" style="98" customWidth="1"/>
    <col min="9733" max="9737" width="0" style="98" hidden="1" customWidth="1"/>
    <col min="9738" max="9739" width="9.7109375" style="98" customWidth="1"/>
    <col min="9740" max="9741" width="10.7109375" style="98" customWidth="1"/>
    <col min="9742" max="9743" width="10.42578125" style="98" customWidth="1"/>
    <col min="9744" max="9744" width="7.140625" style="98" customWidth="1"/>
    <col min="9745" max="9745" width="12.28515625" style="98" customWidth="1"/>
    <col min="9746" max="9747" width="7.140625" style="98" customWidth="1"/>
    <col min="9748" max="9986" width="8.85546875" style="98"/>
    <col min="9987" max="9987" width="50.28515625" style="98" customWidth="1"/>
    <col min="9988" max="9988" width="12.5703125" style="98" customWidth="1"/>
    <col min="9989" max="9993" width="0" style="98" hidden="1" customWidth="1"/>
    <col min="9994" max="9995" width="9.7109375" style="98" customWidth="1"/>
    <col min="9996" max="9997" width="10.7109375" style="98" customWidth="1"/>
    <col min="9998" max="9999" width="10.42578125" style="98" customWidth="1"/>
    <col min="10000" max="10000" width="7.140625" style="98" customWidth="1"/>
    <col min="10001" max="10001" width="12.28515625" style="98" customWidth="1"/>
    <col min="10002" max="10003" width="7.140625" style="98" customWidth="1"/>
    <col min="10004" max="10242" width="8.85546875" style="98"/>
    <col min="10243" max="10243" width="50.28515625" style="98" customWidth="1"/>
    <col min="10244" max="10244" width="12.5703125" style="98" customWidth="1"/>
    <col min="10245" max="10249" width="0" style="98" hidden="1" customWidth="1"/>
    <col min="10250" max="10251" width="9.7109375" style="98" customWidth="1"/>
    <col min="10252" max="10253" width="10.7109375" style="98" customWidth="1"/>
    <col min="10254" max="10255" width="10.42578125" style="98" customWidth="1"/>
    <col min="10256" max="10256" width="7.140625" style="98" customWidth="1"/>
    <col min="10257" max="10257" width="12.28515625" style="98" customWidth="1"/>
    <col min="10258" max="10259" width="7.140625" style="98" customWidth="1"/>
    <col min="10260" max="10498" width="8.85546875" style="98"/>
    <col min="10499" max="10499" width="50.28515625" style="98" customWidth="1"/>
    <col min="10500" max="10500" width="12.5703125" style="98" customWidth="1"/>
    <col min="10501" max="10505" width="0" style="98" hidden="1" customWidth="1"/>
    <col min="10506" max="10507" width="9.7109375" style="98" customWidth="1"/>
    <col min="10508" max="10509" width="10.7109375" style="98" customWidth="1"/>
    <col min="10510" max="10511" width="10.42578125" style="98" customWidth="1"/>
    <col min="10512" max="10512" width="7.140625" style="98" customWidth="1"/>
    <col min="10513" max="10513" width="12.28515625" style="98" customWidth="1"/>
    <col min="10514" max="10515" width="7.140625" style="98" customWidth="1"/>
    <col min="10516" max="10754" width="8.85546875" style="98"/>
    <col min="10755" max="10755" width="50.28515625" style="98" customWidth="1"/>
    <col min="10756" max="10756" width="12.5703125" style="98" customWidth="1"/>
    <col min="10757" max="10761" width="0" style="98" hidden="1" customWidth="1"/>
    <col min="10762" max="10763" width="9.7109375" style="98" customWidth="1"/>
    <col min="10764" max="10765" width="10.7109375" style="98" customWidth="1"/>
    <col min="10766" max="10767" width="10.42578125" style="98" customWidth="1"/>
    <col min="10768" max="10768" width="7.140625" style="98" customWidth="1"/>
    <col min="10769" max="10769" width="12.28515625" style="98" customWidth="1"/>
    <col min="10770" max="10771" width="7.140625" style="98" customWidth="1"/>
    <col min="10772" max="11010" width="8.85546875" style="98"/>
    <col min="11011" max="11011" width="50.28515625" style="98" customWidth="1"/>
    <col min="11012" max="11012" width="12.5703125" style="98" customWidth="1"/>
    <col min="11013" max="11017" width="0" style="98" hidden="1" customWidth="1"/>
    <col min="11018" max="11019" width="9.7109375" style="98" customWidth="1"/>
    <col min="11020" max="11021" width="10.7109375" style="98" customWidth="1"/>
    <col min="11022" max="11023" width="10.42578125" style="98" customWidth="1"/>
    <col min="11024" max="11024" width="7.140625" style="98" customWidth="1"/>
    <col min="11025" max="11025" width="12.28515625" style="98" customWidth="1"/>
    <col min="11026" max="11027" width="7.140625" style="98" customWidth="1"/>
    <col min="11028" max="11266" width="8.85546875" style="98"/>
    <col min="11267" max="11267" width="50.28515625" style="98" customWidth="1"/>
    <col min="11268" max="11268" width="12.5703125" style="98" customWidth="1"/>
    <col min="11269" max="11273" width="0" style="98" hidden="1" customWidth="1"/>
    <col min="11274" max="11275" width="9.7109375" style="98" customWidth="1"/>
    <col min="11276" max="11277" width="10.7109375" style="98" customWidth="1"/>
    <col min="11278" max="11279" width="10.42578125" style="98" customWidth="1"/>
    <col min="11280" max="11280" width="7.140625" style="98" customWidth="1"/>
    <col min="11281" max="11281" width="12.28515625" style="98" customWidth="1"/>
    <col min="11282" max="11283" width="7.140625" style="98" customWidth="1"/>
    <col min="11284" max="11522" width="8.85546875" style="98"/>
    <col min="11523" max="11523" width="50.28515625" style="98" customWidth="1"/>
    <col min="11524" max="11524" width="12.5703125" style="98" customWidth="1"/>
    <col min="11525" max="11529" width="0" style="98" hidden="1" customWidth="1"/>
    <col min="11530" max="11531" width="9.7109375" style="98" customWidth="1"/>
    <col min="11532" max="11533" width="10.7109375" style="98" customWidth="1"/>
    <col min="11534" max="11535" width="10.42578125" style="98" customWidth="1"/>
    <col min="11536" max="11536" width="7.140625" style="98" customWidth="1"/>
    <col min="11537" max="11537" width="12.28515625" style="98" customWidth="1"/>
    <col min="11538" max="11539" width="7.140625" style="98" customWidth="1"/>
    <col min="11540" max="11778" width="8.85546875" style="98"/>
    <col min="11779" max="11779" width="50.28515625" style="98" customWidth="1"/>
    <col min="11780" max="11780" width="12.5703125" style="98" customWidth="1"/>
    <col min="11781" max="11785" width="0" style="98" hidden="1" customWidth="1"/>
    <col min="11786" max="11787" width="9.7109375" style="98" customWidth="1"/>
    <col min="11788" max="11789" width="10.7109375" style="98" customWidth="1"/>
    <col min="11790" max="11791" width="10.42578125" style="98" customWidth="1"/>
    <col min="11792" max="11792" width="7.140625" style="98" customWidth="1"/>
    <col min="11793" max="11793" width="12.28515625" style="98" customWidth="1"/>
    <col min="11794" max="11795" width="7.140625" style="98" customWidth="1"/>
    <col min="11796" max="12034" width="8.85546875" style="98"/>
    <col min="12035" max="12035" width="50.28515625" style="98" customWidth="1"/>
    <col min="12036" max="12036" width="12.5703125" style="98" customWidth="1"/>
    <col min="12037" max="12041" width="0" style="98" hidden="1" customWidth="1"/>
    <col min="12042" max="12043" width="9.7109375" style="98" customWidth="1"/>
    <col min="12044" max="12045" width="10.7109375" style="98" customWidth="1"/>
    <col min="12046" max="12047" width="10.42578125" style="98" customWidth="1"/>
    <col min="12048" max="12048" width="7.140625" style="98" customWidth="1"/>
    <col min="12049" max="12049" width="12.28515625" style="98" customWidth="1"/>
    <col min="12050" max="12051" width="7.140625" style="98" customWidth="1"/>
    <col min="12052" max="12290" width="8.85546875" style="98"/>
    <col min="12291" max="12291" width="50.28515625" style="98" customWidth="1"/>
    <col min="12292" max="12292" width="12.5703125" style="98" customWidth="1"/>
    <col min="12293" max="12297" width="0" style="98" hidden="1" customWidth="1"/>
    <col min="12298" max="12299" width="9.7109375" style="98" customWidth="1"/>
    <col min="12300" max="12301" width="10.7109375" style="98" customWidth="1"/>
    <col min="12302" max="12303" width="10.42578125" style="98" customWidth="1"/>
    <col min="12304" max="12304" width="7.140625" style="98" customWidth="1"/>
    <col min="12305" max="12305" width="12.28515625" style="98" customWidth="1"/>
    <col min="12306" max="12307" width="7.140625" style="98" customWidth="1"/>
    <col min="12308" max="12546" width="8.85546875" style="98"/>
    <col min="12547" max="12547" width="50.28515625" style="98" customWidth="1"/>
    <col min="12548" max="12548" width="12.5703125" style="98" customWidth="1"/>
    <col min="12549" max="12553" width="0" style="98" hidden="1" customWidth="1"/>
    <col min="12554" max="12555" width="9.7109375" style="98" customWidth="1"/>
    <col min="12556" max="12557" width="10.7109375" style="98" customWidth="1"/>
    <col min="12558" max="12559" width="10.42578125" style="98" customWidth="1"/>
    <col min="12560" max="12560" width="7.140625" style="98" customWidth="1"/>
    <col min="12561" max="12561" width="12.28515625" style="98" customWidth="1"/>
    <col min="12562" max="12563" width="7.140625" style="98" customWidth="1"/>
    <col min="12564" max="12802" width="8.85546875" style="98"/>
    <col min="12803" max="12803" width="50.28515625" style="98" customWidth="1"/>
    <col min="12804" max="12804" width="12.5703125" style="98" customWidth="1"/>
    <col min="12805" max="12809" width="0" style="98" hidden="1" customWidth="1"/>
    <col min="12810" max="12811" width="9.7109375" style="98" customWidth="1"/>
    <col min="12812" max="12813" width="10.7109375" style="98" customWidth="1"/>
    <col min="12814" max="12815" width="10.42578125" style="98" customWidth="1"/>
    <col min="12816" max="12816" width="7.140625" style="98" customWidth="1"/>
    <col min="12817" max="12817" width="12.28515625" style="98" customWidth="1"/>
    <col min="12818" max="12819" width="7.140625" style="98" customWidth="1"/>
    <col min="12820" max="13058" width="8.85546875" style="98"/>
    <col min="13059" max="13059" width="50.28515625" style="98" customWidth="1"/>
    <col min="13060" max="13060" width="12.5703125" style="98" customWidth="1"/>
    <col min="13061" max="13065" width="0" style="98" hidden="1" customWidth="1"/>
    <col min="13066" max="13067" width="9.7109375" style="98" customWidth="1"/>
    <col min="13068" max="13069" width="10.7109375" style="98" customWidth="1"/>
    <col min="13070" max="13071" width="10.42578125" style="98" customWidth="1"/>
    <col min="13072" max="13072" width="7.140625" style="98" customWidth="1"/>
    <col min="13073" max="13073" width="12.28515625" style="98" customWidth="1"/>
    <col min="13074" max="13075" width="7.140625" style="98" customWidth="1"/>
    <col min="13076" max="13314" width="8.85546875" style="98"/>
    <col min="13315" max="13315" width="50.28515625" style="98" customWidth="1"/>
    <col min="13316" max="13316" width="12.5703125" style="98" customWidth="1"/>
    <col min="13317" max="13321" width="0" style="98" hidden="1" customWidth="1"/>
    <col min="13322" max="13323" width="9.7109375" style="98" customWidth="1"/>
    <col min="13324" max="13325" width="10.7109375" style="98" customWidth="1"/>
    <col min="13326" max="13327" width="10.42578125" style="98" customWidth="1"/>
    <col min="13328" max="13328" width="7.140625" style="98" customWidth="1"/>
    <col min="13329" max="13329" width="12.28515625" style="98" customWidth="1"/>
    <col min="13330" max="13331" width="7.140625" style="98" customWidth="1"/>
    <col min="13332" max="13570" width="8.85546875" style="98"/>
    <col min="13571" max="13571" width="50.28515625" style="98" customWidth="1"/>
    <col min="13572" max="13572" width="12.5703125" style="98" customWidth="1"/>
    <col min="13573" max="13577" width="0" style="98" hidden="1" customWidth="1"/>
    <col min="13578" max="13579" width="9.7109375" style="98" customWidth="1"/>
    <col min="13580" max="13581" width="10.7109375" style="98" customWidth="1"/>
    <col min="13582" max="13583" width="10.42578125" style="98" customWidth="1"/>
    <col min="13584" max="13584" width="7.140625" style="98" customWidth="1"/>
    <col min="13585" max="13585" width="12.28515625" style="98" customWidth="1"/>
    <col min="13586" max="13587" width="7.140625" style="98" customWidth="1"/>
    <col min="13588" max="13826" width="8.85546875" style="98"/>
    <col min="13827" max="13827" width="50.28515625" style="98" customWidth="1"/>
    <col min="13828" max="13828" width="12.5703125" style="98" customWidth="1"/>
    <col min="13829" max="13833" width="0" style="98" hidden="1" customWidth="1"/>
    <col min="13834" max="13835" width="9.7109375" style="98" customWidth="1"/>
    <col min="13836" max="13837" width="10.7109375" style="98" customWidth="1"/>
    <col min="13838" max="13839" width="10.42578125" style="98" customWidth="1"/>
    <col min="13840" max="13840" width="7.140625" style="98" customWidth="1"/>
    <col min="13841" max="13841" width="12.28515625" style="98" customWidth="1"/>
    <col min="13842" max="13843" width="7.140625" style="98" customWidth="1"/>
    <col min="13844" max="14082" width="8.85546875" style="98"/>
    <col min="14083" max="14083" width="50.28515625" style="98" customWidth="1"/>
    <col min="14084" max="14084" width="12.5703125" style="98" customWidth="1"/>
    <col min="14085" max="14089" width="0" style="98" hidden="1" customWidth="1"/>
    <col min="14090" max="14091" width="9.7109375" style="98" customWidth="1"/>
    <col min="14092" max="14093" width="10.7109375" style="98" customWidth="1"/>
    <col min="14094" max="14095" width="10.42578125" style="98" customWidth="1"/>
    <col min="14096" max="14096" width="7.140625" style="98" customWidth="1"/>
    <col min="14097" max="14097" width="12.28515625" style="98" customWidth="1"/>
    <col min="14098" max="14099" width="7.140625" style="98" customWidth="1"/>
    <col min="14100" max="14338" width="8.85546875" style="98"/>
    <col min="14339" max="14339" width="50.28515625" style="98" customWidth="1"/>
    <col min="14340" max="14340" width="12.5703125" style="98" customWidth="1"/>
    <col min="14341" max="14345" width="0" style="98" hidden="1" customWidth="1"/>
    <col min="14346" max="14347" width="9.7109375" style="98" customWidth="1"/>
    <col min="14348" max="14349" width="10.7109375" style="98" customWidth="1"/>
    <col min="14350" max="14351" width="10.42578125" style="98" customWidth="1"/>
    <col min="14352" max="14352" width="7.140625" style="98" customWidth="1"/>
    <col min="14353" max="14353" width="12.28515625" style="98" customWidth="1"/>
    <col min="14354" max="14355" width="7.140625" style="98" customWidth="1"/>
    <col min="14356" max="14594" width="8.85546875" style="98"/>
    <col min="14595" max="14595" width="50.28515625" style="98" customWidth="1"/>
    <col min="14596" max="14596" width="12.5703125" style="98" customWidth="1"/>
    <col min="14597" max="14601" width="0" style="98" hidden="1" customWidth="1"/>
    <col min="14602" max="14603" width="9.7109375" style="98" customWidth="1"/>
    <col min="14604" max="14605" width="10.7109375" style="98" customWidth="1"/>
    <col min="14606" max="14607" width="10.42578125" style="98" customWidth="1"/>
    <col min="14608" max="14608" width="7.140625" style="98" customWidth="1"/>
    <col min="14609" max="14609" width="12.28515625" style="98" customWidth="1"/>
    <col min="14610" max="14611" width="7.140625" style="98" customWidth="1"/>
    <col min="14612" max="14850" width="8.85546875" style="98"/>
    <col min="14851" max="14851" width="50.28515625" style="98" customWidth="1"/>
    <col min="14852" max="14852" width="12.5703125" style="98" customWidth="1"/>
    <col min="14853" max="14857" width="0" style="98" hidden="1" customWidth="1"/>
    <col min="14858" max="14859" width="9.7109375" style="98" customWidth="1"/>
    <col min="14860" max="14861" width="10.7109375" style="98" customWidth="1"/>
    <col min="14862" max="14863" width="10.42578125" style="98" customWidth="1"/>
    <col min="14864" max="14864" width="7.140625" style="98" customWidth="1"/>
    <col min="14865" max="14865" width="12.28515625" style="98" customWidth="1"/>
    <col min="14866" max="14867" width="7.140625" style="98" customWidth="1"/>
    <col min="14868" max="15106" width="8.85546875" style="98"/>
    <col min="15107" max="15107" width="50.28515625" style="98" customWidth="1"/>
    <col min="15108" max="15108" width="12.5703125" style="98" customWidth="1"/>
    <col min="15109" max="15113" width="0" style="98" hidden="1" customWidth="1"/>
    <col min="15114" max="15115" width="9.7109375" style="98" customWidth="1"/>
    <col min="15116" max="15117" width="10.7109375" style="98" customWidth="1"/>
    <col min="15118" max="15119" width="10.42578125" style="98" customWidth="1"/>
    <col min="15120" max="15120" width="7.140625" style="98" customWidth="1"/>
    <col min="15121" max="15121" width="12.28515625" style="98" customWidth="1"/>
    <col min="15122" max="15123" width="7.140625" style="98" customWidth="1"/>
    <col min="15124" max="15362" width="8.85546875" style="98"/>
    <col min="15363" max="15363" width="50.28515625" style="98" customWidth="1"/>
    <col min="15364" max="15364" width="12.5703125" style="98" customWidth="1"/>
    <col min="15365" max="15369" width="0" style="98" hidden="1" customWidth="1"/>
    <col min="15370" max="15371" width="9.7109375" style="98" customWidth="1"/>
    <col min="15372" max="15373" width="10.7109375" style="98" customWidth="1"/>
    <col min="15374" max="15375" width="10.42578125" style="98" customWidth="1"/>
    <col min="15376" max="15376" width="7.140625" style="98" customWidth="1"/>
    <col min="15377" max="15377" width="12.28515625" style="98" customWidth="1"/>
    <col min="15378" max="15379" width="7.140625" style="98" customWidth="1"/>
    <col min="15380" max="15618" width="8.85546875" style="98"/>
    <col min="15619" max="15619" width="50.28515625" style="98" customWidth="1"/>
    <col min="15620" max="15620" width="12.5703125" style="98" customWidth="1"/>
    <col min="15621" max="15625" width="0" style="98" hidden="1" customWidth="1"/>
    <col min="15626" max="15627" width="9.7109375" style="98" customWidth="1"/>
    <col min="15628" max="15629" width="10.7109375" style="98" customWidth="1"/>
    <col min="15630" max="15631" width="10.42578125" style="98" customWidth="1"/>
    <col min="15632" max="15632" width="7.140625" style="98" customWidth="1"/>
    <col min="15633" max="15633" width="12.28515625" style="98" customWidth="1"/>
    <col min="15634" max="15635" width="7.140625" style="98" customWidth="1"/>
    <col min="15636" max="15874" width="8.85546875" style="98"/>
    <col min="15875" max="15875" width="50.28515625" style="98" customWidth="1"/>
    <col min="15876" max="15876" width="12.5703125" style="98" customWidth="1"/>
    <col min="15877" max="15881" width="0" style="98" hidden="1" customWidth="1"/>
    <col min="15882" max="15883" width="9.7109375" style="98" customWidth="1"/>
    <col min="15884" max="15885" width="10.7109375" style="98" customWidth="1"/>
    <col min="15886" max="15887" width="10.42578125" style="98" customWidth="1"/>
    <col min="15888" max="15888" width="7.140625" style="98" customWidth="1"/>
    <col min="15889" max="15889" width="12.28515625" style="98" customWidth="1"/>
    <col min="15890" max="15891" width="7.140625" style="98" customWidth="1"/>
    <col min="15892" max="16130" width="8.85546875" style="98"/>
    <col min="16131" max="16131" width="50.28515625" style="98" customWidth="1"/>
    <col min="16132" max="16132" width="12.5703125" style="98" customWidth="1"/>
    <col min="16133" max="16137" width="0" style="98" hidden="1" customWidth="1"/>
    <col min="16138" max="16139" width="9.7109375" style="98" customWidth="1"/>
    <col min="16140" max="16141" width="10.7109375" style="98" customWidth="1"/>
    <col min="16142" max="16143" width="10.42578125" style="98" customWidth="1"/>
    <col min="16144" max="16144" width="7.140625" style="98" customWidth="1"/>
    <col min="16145" max="16145" width="12.28515625" style="98" customWidth="1"/>
    <col min="16146" max="16147" width="7.140625" style="98" customWidth="1"/>
    <col min="16148" max="16384" width="8.85546875" style="98"/>
  </cols>
  <sheetData>
    <row r="1" spans="1:18" ht="17.25" customHeight="1">
      <c r="A1" s="380" t="s">
        <v>225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8" ht="31.5">
      <c r="A2" s="381" t="s">
        <v>2</v>
      </c>
      <c r="B2" s="377" t="s">
        <v>3</v>
      </c>
      <c r="C2" s="99" t="s">
        <v>4</v>
      </c>
      <c r="D2" s="100" t="s">
        <v>5</v>
      </c>
      <c r="E2" s="101" t="s">
        <v>6</v>
      </c>
      <c r="F2" s="100" t="s">
        <v>7</v>
      </c>
      <c r="G2" s="248" t="s">
        <v>8</v>
      </c>
      <c r="H2" s="389" t="s">
        <v>8</v>
      </c>
      <c r="I2" s="390"/>
      <c r="J2" s="390"/>
      <c r="K2" s="390"/>
      <c r="L2" s="393" t="s">
        <v>230</v>
      </c>
      <c r="M2" s="390" t="s">
        <v>10</v>
      </c>
      <c r="N2" s="390"/>
      <c r="O2" s="396"/>
    </row>
    <row r="3" spans="1:18">
      <c r="A3" s="382"/>
      <c r="B3" s="384"/>
      <c r="C3" s="104"/>
      <c r="D3" s="105"/>
      <c r="E3" s="106"/>
      <c r="F3" s="104"/>
      <c r="G3" s="381">
        <v>2011</v>
      </c>
      <c r="H3" s="397">
        <v>2013</v>
      </c>
      <c r="I3" s="399">
        <v>2014</v>
      </c>
      <c r="J3" s="400">
        <v>2015</v>
      </c>
      <c r="K3" s="391">
        <v>2016</v>
      </c>
      <c r="L3" s="394"/>
      <c r="M3" s="396">
        <v>2018</v>
      </c>
      <c r="N3" s="402">
        <v>2019</v>
      </c>
      <c r="O3" s="402">
        <v>2020</v>
      </c>
    </row>
    <row r="4" spans="1:18">
      <c r="A4" s="383"/>
      <c r="B4" s="378"/>
      <c r="C4" s="104"/>
      <c r="D4" s="105"/>
      <c r="E4" s="106"/>
      <c r="F4" s="104"/>
      <c r="G4" s="383"/>
      <c r="H4" s="398"/>
      <c r="I4" s="397"/>
      <c r="J4" s="401"/>
      <c r="K4" s="392"/>
      <c r="L4" s="395"/>
      <c r="M4" s="396"/>
      <c r="N4" s="402"/>
      <c r="O4" s="402"/>
    </row>
    <row r="5" spans="1:18" ht="14.25">
      <c r="A5" s="171" t="s">
        <v>98</v>
      </c>
      <c r="B5" s="114"/>
      <c r="C5" s="115"/>
      <c r="D5" s="131"/>
      <c r="E5" s="131"/>
      <c r="F5" s="131"/>
      <c r="G5" s="117"/>
      <c r="H5" s="119"/>
      <c r="I5" s="119"/>
      <c r="J5" s="119"/>
      <c r="K5" s="119"/>
      <c r="L5" s="119"/>
      <c r="M5" s="119"/>
      <c r="N5" s="119"/>
      <c r="O5" s="119"/>
    </row>
    <row r="6" spans="1:18" ht="12.75">
      <c r="A6" s="172" t="s">
        <v>99</v>
      </c>
      <c r="B6" s="114" t="s">
        <v>94</v>
      </c>
      <c r="C6" s="115"/>
      <c r="D6" s="131"/>
      <c r="E6" s="131"/>
      <c r="F6" s="131"/>
      <c r="G6" s="117">
        <v>597.36099999999999</v>
      </c>
      <c r="H6" s="119">
        <f>H7+H22+H27</f>
        <v>758.60540000000003</v>
      </c>
      <c r="I6" s="119">
        <f>I7+I22+I27</f>
        <v>805.01209999999992</v>
      </c>
      <c r="J6" s="119">
        <f>J7+J22+J27</f>
        <v>734.56050000000005</v>
      </c>
      <c r="K6" s="119">
        <f>K7+K22+K27</f>
        <v>660.19010000000014</v>
      </c>
      <c r="L6" s="119">
        <f>L7+L22+L27</f>
        <v>549.37999999999988</v>
      </c>
      <c r="M6" s="119"/>
      <c r="N6" s="119"/>
      <c r="O6" s="119"/>
      <c r="P6" s="167">
        <f>J6-L6</f>
        <v>185.18050000000017</v>
      </c>
    </row>
    <row r="7" spans="1:18" ht="12.75">
      <c r="A7" s="113" t="s">
        <v>100</v>
      </c>
      <c r="B7" s="114" t="s">
        <v>94</v>
      </c>
      <c r="C7" s="115">
        <v>1</v>
      </c>
      <c r="D7" s="131"/>
      <c r="E7" s="131"/>
      <c r="F7" s="131"/>
      <c r="G7" s="117">
        <v>45.615000000000002</v>
      </c>
      <c r="H7" s="119">
        <f>H8+H9+H15+H21</f>
        <v>43.401000000000003</v>
      </c>
      <c r="I7" s="119">
        <f>I8+I9+I15+I21</f>
        <v>92.16</v>
      </c>
      <c r="J7" s="119">
        <f>J8+J9+J15+J21+J14</f>
        <v>85.5</v>
      </c>
      <c r="K7" s="119">
        <f>K8+K9+K15+K21+K14</f>
        <v>94.725000000000009</v>
      </c>
      <c r="L7" s="119">
        <f>L8+L9+L14+L15</f>
        <v>69.8</v>
      </c>
      <c r="M7" s="119"/>
      <c r="N7" s="173"/>
      <c r="O7" s="173"/>
      <c r="P7" s="137">
        <f>I7-92.209</f>
        <v>-4.9000000000006594E-2</v>
      </c>
      <c r="Q7" s="137"/>
      <c r="R7" s="167"/>
    </row>
    <row r="8" spans="1:18" ht="12.75">
      <c r="A8" s="113" t="s">
        <v>102</v>
      </c>
      <c r="B8" s="114" t="s">
        <v>94</v>
      </c>
      <c r="C8" s="115">
        <v>1</v>
      </c>
      <c r="D8" s="131"/>
      <c r="E8" s="131"/>
      <c r="F8" s="131"/>
      <c r="G8" s="117">
        <v>26.427</v>
      </c>
      <c r="H8" s="119">
        <v>30.425999999999998</v>
      </c>
      <c r="I8" s="119">
        <v>54.1</v>
      </c>
      <c r="J8" s="173">
        <v>49.85</v>
      </c>
      <c r="K8" s="173">
        <v>53.808</v>
      </c>
      <c r="L8" s="173">
        <v>43.5</v>
      </c>
      <c r="M8" s="173"/>
      <c r="N8" s="173"/>
      <c r="O8" s="173"/>
    </row>
    <row r="9" spans="1:18" ht="12.75">
      <c r="A9" s="113" t="s">
        <v>103</v>
      </c>
      <c r="B9" s="114" t="s">
        <v>94</v>
      </c>
      <c r="C9" s="115">
        <v>1</v>
      </c>
      <c r="D9" s="131"/>
      <c r="E9" s="131"/>
      <c r="F9" s="131"/>
      <c r="G9" s="117">
        <v>7.6130000000000004</v>
      </c>
      <c r="H9" s="119">
        <f>H10+H12</f>
        <v>10.61</v>
      </c>
      <c r="I9" s="119">
        <v>14.65</v>
      </c>
      <c r="J9" s="119">
        <v>14.29</v>
      </c>
      <c r="K9" s="119">
        <f>K10+K12</f>
        <v>14.430200000000001</v>
      </c>
      <c r="L9" s="119">
        <v>8.6</v>
      </c>
      <c r="M9" s="119"/>
      <c r="N9" s="119"/>
      <c r="O9" s="119"/>
      <c r="P9" s="167"/>
    </row>
    <row r="10" spans="1:18" ht="12.75">
      <c r="A10" s="113" t="s">
        <v>104</v>
      </c>
      <c r="B10" s="114" t="s">
        <v>94</v>
      </c>
      <c r="C10" s="115"/>
      <c r="D10" s="131"/>
      <c r="E10" s="131"/>
      <c r="F10" s="131"/>
      <c r="G10" s="117">
        <v>1.7030000000000001</v>
      </c>
      <c r="H10" s="119">
        <v>3.85</v>
      </c>
      <c r="I10" s="119">
        <v>4.17</v>
      </c>
      <c r="J10" s="173">
        <v>5.01</v>
      </c>
      <c r="K10" s="173">
        <v>4.4732000000000003</v>
      </c>
      <c r="L10" s="173">
        <v>2.6</v>
      </c>
      <c r="M10" s="173"/>
      <c r="N10" s="173"/>
      <c r="O10" s="173"/>
    </row>
    <row r="11" spans="1:18" ht="12.75">
      <c r="A11" s="113" t="s">
        <v>105</v>
      </c>
      <c r="B11" s="114" t="s">
        <v>94</v>
      </c>
      <c r="C11" s="115">
        <v>1</v>
      </c>
      <c r="D11" s="131"/>
      <c r="E11" s="131"/>
      <c r="F11" s="131"/>
      <c r="G11" s="117">
        <v>1.01</v>
      </c>
      <c r="H11" s="119"/>
      <c r="I11" s="119"/>
      <c r="J11" s="173"/>
      <c r="K11" s="173"/>
      <c r="L11" s="173"/>
      <c r="M11" s="173"/>
      <c r="N11" s="173"/>
      <c r="O11" s="173"/>
    </row>
    <row r="12" spans="1:18" ht="12.75">
      <c r="A12" s="113" t="s">
        <v>106</v>
      </c>
      <c r="B12" s="114" t="s">
        <v>94</v>
      </c>
      <c r="C12" s="115"/>
      <c r="D12" s="131"/>
      <c r="E12" s="131"/>
      <c r="F12" s="131"/>
      <c r="G12" s="117">
        <v>4.9000000000000004</v>
      </c>
      <c r="H12" s="119">
        <v>6.76</v>
      </c>
      <c r="I12" s="119">
        <v>10.48</v>
      </c>
      <c r="J12" s="173">
        <v>9.2799999999999994</v>
      </c>
      <c r="K12" s="173">
        <v>9.9570000000000007</v>
      </c>
      <c r="L12" s="173">
        <v>6</v>
      </c>
      <c r="M12" s="173"/>
      <c r="N12" s="173"/>
      <c r="O12" s="173"/>
    </row>
    <row r="13" spans="1:18" ht="21">
      <c r="A13" s="113" t="s">
        <v>107</v>
      </c>
      <c r="B13" s="114" t="s">
        <v>94</v>
      </c>
      <c r="C13" s="115">
        <v>1</v>
      </c>
      <c r="D13" s="131"/>
      <c r="E13" s="131"/>
      <c r="F13" s="131"/>
      <c r="G13" s="117"/>
      <c r="H13" s="119"/>
      <c r="I13" s="119"/>
      <c r="J13" s="173"/>
      <c r="K13" s="173"/>
      <c r="L13" s="173"/>
      <c r="M13" s="173"/>
      <c r="N13" s="173"/>
      <c r="O13" s="173"/>
    </row>
    <row r="14" spans="1:18" ht="21">
      <c r="A14" s="113" t="s">
        <v>108</v>
      </c>
      <c r="B14" s="114" t="s">
        <v>94</v>
      </c>
      <c r="C14" s="115">
        <v>1</v>
      </c>
      <c r="D14" s="131"/>
      <c r="E14" s="131"/>
      <c r="F14" s="131"/>
      <c r="G14" s="117"/>
      <c r="H14" s="119"/>
      <c r="I14" s="119">
        <v>19</v>
      </c>
      <c r="J14" s="173">
        <v>15.56</v>
      </c>
      <c r="K14" s="173">
        <v>13.7812</v>
      </c>
      <c r="L14" s="173">
        <v>7.9</v>
      </c>
      <c r="M14" s="173"/>
      <c r="N14" s="173"/>
      <c r="O14" s="173"/>
    </row>
    <row r="15" spans="1:18" ht="12.75">
      <c r="A15" s="113" t="s">
        <v>109</v>
      </c>
      <c r="B15" s="114" t="s">
        <v>94</v>
      </c>
      <c r="C15" s="115">
        <v>1</v>
      </c>
      <c r="D15" s="131"/>
      <c r="E15" s="131"/>
      <c r="F15" s="131"/>
      <c r="G15" s="117">
        <v>7.032</v>
      </c>
      <c r="H15" s="119">
        <f>H16+H18</f>
        <v>1.7430000000000001</v>
      </c>
      <c r="I15" s="119">
        <f>I16+I18</f>
        <v>2.3199999999999998</v>
      </c>
      <c r="J15" s="119">
        <f>J16+J18</f>
        <v>3.36</v>
      </c>
      <c r="K15" s="119">
        <f>K16+K17+K18+K19</f>
        <v>11.018999999999998</v>
      </c>
      <c r="L15" s="119">
        <v>9.8000000000000007</v>
      </c>
      <c r="M15" s="119"/>
      <c r="N15" s="173"/>
      <c r="O15" s="173"/>
    </row>
    <row r="16" spans="1:18" ht="21">
      <c r="A16" s="113" t="s">
        <v>110</v>
      </c>
      <c r="B16" s="114" t="s">
        <v>94</v>
      </c>
      <c r="C16" s="115">
        <v>1</v>
      </c>
      <c r="D16" s="131"/>
      <c r="E16" s="131"/>
      <c r="F16" s="131"/>
      <c r="G16" s="117">
        <v>1.6759999999999999</v>
      </c>
      <c r="H16" s="119">
        <v>1.4470000000000001</v>
      </c>
      <c r="I16" s="119">
        <v>1.99</v>
      </c>
      <c r="J16" s="173">
        <v>2.88</v>
      </c>
      <c r="K16" s="173">
        <v>2.3681999999999999</v>
      </c>
      <c r="L16" s="173">
        <v>2.1</v>
      </c>
      <c r="M16" s="173"/>
      <c r="N16" s="173"/>
      <c r="O16" s="173"/>
    </row>
    <row r="17" spans="1:17" ht="21">
      <c r="A17" s="113" t="s">
        <v>111</v>
      </c>
      <c r="B17" s="114" t="s">
        <v>94</v>
      </c>
      <c r="C17" s="115">
        <v>1</v>
      </c>
      <c r="D17" s="131"/>
      <c r="E17" s="131"/>
      <c r="F17" s="131"/>
      <c r="G17" s="117">
        <v>4.2990000000000004</v>
      </c>
      <c r="H17" s="119"/>
      <c r="I17" s="119"/>
      <c r="J17" s="173"/>
      <c r="K17" s="173">
        <v>8.1626999999999992</v>
      </c>
      <c r="L17" s="173">
        <v>7.3</v>
      </c>
      <c r="M17" s="173"/>
      <c r="N17" s="173"/>
      <c r="O17" s="173"/>
    </row>
    <row r="18" spans="1:17" ht="12.75">
      <c r="A18" s="113" t="s">
        <v>112</v>
      </c>
      <c r="B18" s="114" t="s">
        <v>94</v>
      </c>
      <c r="C18" s="115"/>
      <c r="D18" s="131"/>
      <c r="E18" s="131"/>
      <c r="F18" s="131"/>
      <c r="G18" s="117">
        <v>1.0569999999999999</v>
      </c>
      <c r="H18" s="119">
        <v>0.29599999999999999</v>
      </c>
      <c r="I18" s="119">
        <v>0.33</v>
      </c>
      <c r="J18" s="173">
        <v>0.48</v>
      </c>
      <c r="K18" s="173">
        <v>0.46899999999999997</v>
      </c>
      <c r="L18" s="173">
        <v>0.2</v>
      </c>
      <c r="M18" s="173"/>
      <c r="N18" s="173"/>
      <c r="O18" s="173"/>
      <c r="Q18" s="167"/>
    </row>
    <row r="19" spans="1:17" ht="21">
      <c r="A19" s="113" t="s">
        <v>113</v>
      </c>
      <c r="B19" s="114" t="s">
        <v>94</v>
      </c>
      <c r="C19" s="115">
        <v>1</v>
      </c>
      <c r="D19" s="131"/>
      <c r="E19" s="131"/>
      <c r="F19" s="131"/>
      <c r="G19" s="117">
        <v>0.124</v>
      </c>
      <c r="H19" s="119"/>
      <c r="I19" s="119"/>
      <c r="J19" s="173"/>
      <c r="K19" s="173">
        <v>1.9099999999999999E-2</v>
      </c>
      <c r="L19" s="173"/>
      <c r="M19" s="173"/>
      <c r="N19" s="173"/>
      <c r="O19" s="173"/>
    </row>
    <row r="20" spans="1:17" ht="12.75">
      <c r="A20" s="113" t="s">
        <v>114</v>
      </c>
      <c r="B20" s="114" t="s">
        <v>94</v>
      </c>
      <c r="C20" s="115">
        <v>1</v>
      </c>
      <c r="D20" s="131"/>
      <c r="E20" s="131"/>
      <c r="F20" s="131"/>
      <c r="G20" s="117"/>
      <c r="H20" s="119"/>
      <c r="I20" s="119"/>
      <c r="J20" s="173"/>
      <c r="K20" s="173"/>
      <c r="L20" s="173"/>
      <c r="M20" s="173"/>
      <c r="N20" s="173"/>
      <c r="O20" s="173"/>
    </row>
    <row r="21" spans="1:17" ht="12.75">
      <c r="A21" s="113" t="s">
        <v>115</v>
      </c>
      <c r="B21" s="114" t="s">
        <v>94</v>
      </c>
      <c r="C21" s="115">
        <v>1</v>
      </c>
      <c r="D21" s="131"/>
      <c r="E21" s="131"/>
      <c r="F21" s="131"/>
      <c r="G21" s="117">
        <v>4.4189999999999996</v>
      </c>
      <c r="H21" s="119">
        <v>0.622</v>
      </c>
      <c r="I21" s="119">
        <v>21.09</v>
      </c>
      <c r="J21" s="173">
        <f>18-J14</f>
        <v>2.4399999999999995</v>
      </c>
      <c r="K21" s="173">
        <v>1.6866000000000001</v>
      </c>
      <c r="L21" s="173"/>
      <c r="M21" s="173"/>
      <c r="N21" s="173"/>
      <c r="O21" s="173"/>
      <c r="P21" s="167"/>
    </row>
    <row r="22" spans="1:17" ht="12.75">
      <c r="A22" s="172" t="s">
        <v>116</v>
      </c>
      <c r="B22" s="114" t="s">
        <v>94</v>
      </c>
      <c r="C22" s="115">
        <v>1</v>
      </c>
      <c r="D22" s="131"/>
      <c r="E22" s="131"/>
      <c r="F22" s="131"/>
      <c r="G22" s="117">
        <v>8.8320000000000007</v>
      </c>
      <c r="H22" s="119">
        <f>H23+H25+H26</f>
        <v>21.402699999999999</v>
      </c>
      <c r="I22" s="119">
        <f>I23+I25+I26</f>
        <v>18.6921</v>
      </c>
      <c r="J22" s="173">
        <f>J23+J26</f>
        <v>15.665500000000002</v>
      </c>
      <c r="K22" s="173">
        <f>K23+K25+K26</f>
        <v>16.9895</v>
      </c>
      <c r="L22" s="119">
        <f>L23+L25+L26</f>
        <v>15.68</v>
      </c>
      <c r="M22" s="119"/>
      <c r="N22" s="173"/>
      <c r="O22" s="173"/>
      <c r="P22" s="167"/>
      <c r="Q22" s="137"/>
    </row>
    <row r="23" spans="1:17" ht="21">
      <c r="A23" s="113" t="s">
        <v>117</v>
      </c>
      <c r="B23" s="114" t="s">
        <v>94</v>
      </c>
      <c r="C23" s="115">
        <v>1</v>
      </c>
      <c r="D23" s="131"/>
      <c r="E23" s="131"/>
      <c r="F23" s="131"/>
      <c r="G23" s="117">
        <v>2.8450000000000002</v>
      </c>
      <c r="H23" s="119">
        <v>6.4660000000000002</v>
      </c>
      <c r="I23" s="119">
        <v>7.16</v>
      </c>
      <c r="J23" s="173">
        <v>5.79</v>
      </c>
      <c r="K23" s="173">
        <v>4.5770999999999997</v>
      </c>
      <c r="L23" s="173">
        <v>3.9</v>
      </c>
      <c r="M23" s="173"/>
      <c r="N23" s="173"/>
      <c r="O23" s="173"/>
    </row>
    <row r="24" spans="1:17" ht="21">
      <c r="A24" s="113" t="s">
        <v>118</v>
      </c>
      <c r="B24" s="114" t="s">
        <v>94</v>
      </c>
      <c r="C24" s="115">
        <v>1</v>
      </c>
      <c r="D24" s="131"/>
      <c r="E24" s="131"/>
      <c r="F24" s="131"/>
      <c r="G24" s="117">
        <v>2.8450000000000002</v>
      </c>
      <c r="H24" s="119">
        <v>6.4660000000000002</v>
      </c>
      <c r="I24" s="119">
        <v>7.16</v>
      </c>
      <c r="J24" s="173">
        <v>5.79</v>
      </c>
      <c r="K24" s="173">
        <v>4.1000000000000002E-2</v>
      </c>
      <c r="L24" s="173">
        <v>3.9</v>
      </c>
      <c r="M24" s="173"/>
      <c r="N24" s="173"/>
      <c r="O24" s="173"/>
    </row>
    <row r="25" spans="1:17" ht="21">
      <c r="A25" s="113" t="s">
        <v>119</v>
      </c>
      <c r="B25" s="114" t="s">
        <v>94</v>
      </c>
      <c r="C25" s="115">
        <v>1</v>
      </c>
      <c r="D25" s="131"/>
      <c r="E25" s="131"/>
      <c r="F25" s="131"/>
      <c r="G25" s="117">
        <v>0.29599999999999999</v>
      </c>
      <c r="H25" s="119">
        <f>9.7/1000</f>
        <v>9.6999999999999986E-3</v>
      </c>
      <c r="I25" s="119">
        <v>2.0999999999999999E-3</v>
      </c>
      <c r="J25" s="173"/>
      <c r="K25" s="173">
        <v>0.31369999999999998</v>
      </c>
      <c r="L25" s="173">
        <v>0.9</v>
      </c>
      <c r="M25" s="173"/>
      <c r="N25" s="173"/>
      <c r="O25" s="173"/>
    </row>
    <row r="26" spans="1:17" ht="12.75">
      <c r="A26" s="113" t="s">
        <v>120</v>
      </c>
      <c r="B26" s="114" t="s">
        <v>94</v>
      </c>
      <c r="C26" s="115">
        <v>1</v>
      </c>
      <c r="D26" s="131"/>
      <c r="E26" s="131"/>
      <c r="F26" s="131"/>
      <c r="G26" s="117">
        <v>50.691000000000003</v>
      </c>
      <c r="H26" s="119">
        <v>14.927</v>
      </c>
      <c r="I26" s="119">
        <v>11.53</v>
      </c>
      <c r="J26" s="173">
        <v>9.8755000000000006</v>
      </c>
      <c r="K26" s="173">
        <v>12.098699999999999</v>
      </c>
      <c r="L26" s="119">
        <f>0.2+4+1.4+5+0.3-0.02</f>
        <v>10.88</v>
      </c>
      <c r="M26" s="119"/>
      <c r="N26" s="173"/>
      <c r="O26" s="173"/>
    </row>
    <row r="27" spans="1:17" ht="12.75">
      <c r="A27" s="172" t="s">
        <v>121</v>
      </c>
      <c r="B27" s="114" t="s">
        <v>94</v>
      </c>
      <c r="C27" s="115">
        <v>1</v>
      </c>
      <c r="D27" s="131"/>
      <c r="E27" s="131"/>
      <c r="F27" s="131"/>
      <c r="G27" s="117">
        <v>542.91399999999999</v>
      </c>
      <c r="H27" s="119">
        <f>H28+H29+H30+H31+H32</f>
        <v>693.80169999999998</v>
      </c>
      <c r="I27" s="119">
        <f>I28+I29+I30+I31+I32</f>
        <v>694.16</v>
      </c>
      <c r="J27" s="119">
        <f>J28+J29+J30+J31+J32</f>
        <v>633.39499999999998</v>
      </c>
      <c r="K27" s="119">
        <f>K28+K29+K30+K31+K32+K33</f>
        <v>548.4756000000001</v>
      </c>
      <c r="L27" s="119">
        <f>L28+L29+L30+L31+L33</f>
        <v>463.89999999999992</v>
      </c>
      <c r="M27" s="119"/>
      <c r="N27" s="119"/>
      <c r="O27" s="119"/>
      <c r="P27" s="167"/>
      <c r="Q27" s="167"/>
    </row>
    <row r="28" spans="1:17" ht="31.5" customHeight="1">
      <c r="A28" s="113" t="s">
        <v>122</v>
      </c>
      <c r="B28" s="114" t="s">
        <v>94</v>
      </c>
      <c r="C28" s="115">
        <v>1</v>
      </c>
      <c r="D28" s="131"/>
      <c r="E28" s="131"/>
      <c r="F28" s="131"/>
      <c r="G28" s="117">
        <v>154.71600000000001</v>
      </c>
      <c r="H28" s="119">
        <v>133.976</v>
      </c>
      <c r="I28" s="119">
        <v>79.61</v>
      </c>
      <c r="J28" s="173">
        <v>94.53</v>
      </c>
      <c r="K28" s="173">
        <v>78.918999999999997</v>
      </c>
      <c r="L28" s="173">
        <v>72.599999999999994</v>
      </c>
      <c r="M28" s="173"/>
      <c r="N28" s="173"/>
      <c r="O28" s="173"/>
    </row>
    <row r="29" spans="1:17" ht="12.75">
      <c r="A29" s="113" t="s">
        <v>123</v>
      </c>
      <c r="B29" s="114" t="s">
        <v>94</v>
      </c>
      <c r="C29" s="115">
        <v>1</v>
      </c>
      <c r="D29" s="131"/>
      <c r="E29" s="131"/>
      <c r="F29" s="131"/>
      <c r="G29" s="117">
        <v>305.596</v>
      </c>
      <c r="H29" s="119">
        <v>452.17700000000002</v>
      </c>
      <c r="I29" s="119">
        <v>523.63</v>
      </c>
      <c r="J29" s="173">
        <v>452.41</v>
      </c>
      <c r="K29" s="173">
        <v>435.57319999999999</v>
      </c>
      <c r="L29" s="173">
        <v>359.2</v>
      </c>
      <c r="M29" s="173"/>
      <c r="N29" s="173"/>
      <c r="O29" s="173"/>
    </row>
    <row r="30" spans="1:17" ht="31.5">
      <c r="A30" s="113" t="s">
        <v>124</v>
      </c>
      <c r="B30" s="114" t="s">
        <v>94</v>
      </c>
      <c r="C30" s="115">
        <v>1</v>
      </c>
      <c r="D30" s="131"/>
      <c r="E30" s="131"/>
      <c r="F30" s="131"/>
      <c r="G30" s="117">
        <v>55.786999999999999</v>
      </c>
      <c r="H30" s="119">
        <v>92.631</v>
      </c>
      <c r="I30" s="119">
        <v>26.17</v>
      </c>
      <c r="J30" s="173">
        <v>35</v>
      </c>
      <c r="K30" s="173"/>
      <c r="L30" s="173">
        <v>24.9</v>
      </c>
      <c r="M30" s="173"/>
      <c r="N30" s="173"/>
      <c r="O30" s="173"/>
    </row>
    <row r="31" spans="1:17" ht="12.75">
      <c r="A31" s="113" t="s">
        <v>125</v>
      </c>
      <c r="B31" s="114" t="s">
        <v>94</v>
      </c>
      <c r="C31" s="115">
        <v>1</v>
      </c>
      <c r="D31" s="131"/>
      <c r="E31" s="131"/>
      <c r="F31" s="131"/>
      <c r="G31" s="117">
        <v>17.294</v>
      </c>
      <c r="H31" s="119">
        <v>15.081</v>
      </c>
      <c r="I31" s="119">
        <v>69.3</v>
      </c>
      <c r="J31" s="173">
        <v>53.424999999999997</v>
      </c>
      <c r="K31" s="173">
        <v>28.1997</v>
      </c>
      <c r="L31" s="173">
        <v>7.3</v>
      </c>
      <c r="M31" s="173"/>
      <c r="N31" s="173"/>
      <c r="O31" s="173"/>
    </row>
    <row r="32" spans="1:17" ht="12.75">
      <c r="A32" s="113" t="s">
        <v>126</v>
      </c>
      <c r="B32" s="114" t="s">
        <v>94</v>
      </c>
      <c r="C32" s="115"/>
      <c r="D32" s="131"/>
      <c r="E32" s="131"/>
      <c r="F32" s="131"/>
      <c r="G32" s="117">
        <v>549</v>
      </c>
      <c r="H32" s="119">
        <f>-63.3/1000</f>
        <v>-6.3299999999999995E-2</v>
      </c>
      <c r="I32" s="119">
        <v>-4.55</v>
      </c>
      <c r="J32" s="173">
        <v>-1.97</v>
      </c>
      <c r="K32" s="173">
        <v>10.042</v>
      </c>
      <c r="L32" s="173"/>
      <c r="M32" s="173"/>
      <c r="N32" s="173"/>
      <c r="O32" s="173"/>
    </row>
    <row r="33" spans="1:18" ht="12.75">
      <c r="A33" s="113" t="s">
        <v>229</v>
      </c>
      <c r="B33" s="114" t="s">
        <v>94</v>
      </c>
      <c r="C33" s="115"/>
      <c r="D33" s="131"/>
      <c r="E33" s="131"/>
      <c r="F33" s="131"/>
      <c r="G33" s="117"/>
      <c r="H33" s="119"/>
      <c r="I33" s="119"/>
      <c r="J33" s="173"/>
      <c r="K33" s="173">
        <v>-4.2583000000000002</v>
      </c>
      <c r="L33" s="173">
        <v>-0.1</v>
      </c>
      <c r="M33" s="173"/>
      <c r="N33" s="173"/>
      <c r="O33" s="173"/>
    </row>
    <row r="34" spans="1:18" ht="12.75">
      <c r="A34" s="172" t="s">
        <v>127</v>
      </c>
      <c r="B34" s="114" t="s">
        <v>94</v>
      </c>
      <c r="C34" s="115">
        <v>1</v>
      </c>
      <c r="D34" s="131"/>
      <c r="E34" s="131"/>
      <c r="F34" s="131"/>
      <c r="G34" s="117">
        <v>584.072</v>
      </c>
      <c r="H34" s="119">
        <f>H35+H39+H44+H46+H47+H48+H49+H55</f>
        <v>702.48799999999994</v>
      </c>
      <c r="I34" s="119">
        <f>I35+I39+I44+I46+I47+I48+I49+I55</f>
        <v>862.27700000000004</v>
      </c>
      <c r="J34" s="119">
        <f>J35+J39+J44+J46+J47+J48+J49+J55+J54</f>
        <v>783.404</v>
      </c>
      <c r="K34" s="119">
        <f>K35+K39+K44+K46+K47+K48+K49+K55</f>
        <v>667.39819999999997</v>
      </c>
      <c r="L34" s="119">
        <f>L35+L39+L44+L46+L47+L48+L49+L55</f>
        <v>505.24999999999994</v>
      </c>
      <c r="M34" s="119"/>
      <c r="N34" s="173"/>
      <c r="O34" s="173"/>
      <c r="P34" s="167"/>
      <c r="Q34" s="167"/>
      <c r="R34" s="167"/>
    </row>
    <row r="35" spans="1:18" ht="12.75">
      <c r="A35" s="113" t="s">
        <v>128</v>
      </c>
      <c r="B35" s="114" t="s">
        <v>94</v>
      </c>
      <c r="C35" s="115"/>
      <c r="D35" s="131"/>
      <c r="E35" s="131"/>
      <c r="F35" s="131"/>
      <c r="G35" s="117">
        <v>54.616</v>
      </c>
      <c r="H35" s="119">
        <v>66.628</v>
      </c>
      <c r="I35" s="119">
        <v>76.239999999999995</v>
      </c>
      <c r="J35" s="119">
        <v>80.739999999999995</v>
      </c>
      <c r="K35" s="119">
        <v>73.954400000000007</v>
      </c>
      <c r="L35" s="119">
        <v>51.95</v>
      </c>
      <c r="M35" s="119"/>
      <c r="N35" s="173"/>
      <c r="O35" s="173"/>
      <c r="P35" s="167"/>
      <c r="Q35" s="167"/>
      <c r="R35" s="167"/>
    </row>
    <row r="36" spans="1:18" ht="21">
      <c r="A36" s="113" t="s">
        <v>129</v>
      </c>
      <c r="B36" s="114" t="s">
        <v>94</v>
      </c>
      <c r="C36" s="115">
        <v>1</v>
      </c>
      <c r="D36" s="131"/>
      <c r="E36" s="131"/>
      <c r="F36" s="131"/>
      <c r="G36" s="117">
        <v>1.446</v>
      </c>
      <c r="H36" s="119">
        <v>1.7709999999999999</v>
      </c>
      <c r="I36" s="119">
        <v>1.65</v>
      </c>
      <c r="J36" s="119">
        <v>1.3492999999999999</v>
      </c>
      <c r="K36" s="119">
        <v>0.89859999999999995</v>
      </c>
      <c r="L36" s="119">
        <v>1</v>
      </c>
      <c r="M36" s="119"/>
      <c r="N36" s="173"/>
      <c r="O36" s="173"/>
      <c r="P36" s="137"/>
      <c r="Q36" s="167"/>
    </row>
    <row r="37" spans="1:18" ht="12.75">
      <c r="A37" s="113" t="s">
        <v>130</v>
      </c>
      <c r="B37" s="114" t="s">
        <v>94</v>
      </c>
      <c r="C37" s="115">
        <v>1</v>
      </c>
      <c r="D37" s="131"/>
      <c r="E37" s="131"/>
      <c r="F37" s="131"/>
      <c r="G37" s="117">
        <v>34.590000000000003</v>
      </c>
      <c r="H37" s="119">
        <v>41.92</v>
      </c>
      <c r="I37" s="119">
        <v>48.17</v>
      </c>
      <c r="J37" s="119">
        <v>42.49</v>
      </c>
      <c r="K37" s="119">
        <v>36.111499999999999</v>
      </c>
      <c r="L37" s="119">
        <v>28.66</v>
      </c>
      <c r="M37" s="119"/>
      <c r="N37" s="173"/>
      <c r="O37" s="173"/>
      <c r="P37" s="167"/>
    </row>
    <row r="38" spans="1:18" ht="21">
      <c r="A38" s="113" t="s">
        <v>131</v>
      </c>
      <c r="B38" s="114" t="s">
        <v>94</v>
      </c>
      <c r="C38" s="115"/>
      <c r="D38" s="131"/>
      <c r="E38" s="131"/>
      <c r="F38" s="131"/>
      <c r="G38" s="117">
        <v>0</v>
      </c>
      <c r="H38" s="119"/>
      <c r="I38" s="119"/>
      <c r="J38" s="119"/>
      <c r="K38" s="119"/>
      <c r="L38" s="119"/>
      <c r="M38" s="119"/>
      <c r="N38" s="173"/>
      <c r="O38" s="173"/>
    </row>
    <row r="39" spans="1:18" ht="12.75">
      <c r="A39" s="113" t="s">
        <v>132</v>
      </c>
      <c r="B39" s="114" t="s">
        <v>94</v>
      </c>
      <c r="C39" s="115">
        <v>1</v>
      </c>
      <c r="D39" s="131"/>
      <c r="E39" s="131"/>
      <c r="F39" s="131"/>
      <c r="G39" s="117">
        <v>10.532999999999999</v>
      </c>
      <c r="H39" s="119">
        <f>H41+H43</f>
        <v>10.872</v>
      </c>
      <c r="I39" s="119">
        <v>14.65</v>
      </c>
      <c r="J39" s="119">
        <v>41.39</v>
      </c>
      <c r="K39" s="119">
        <f>K40+K41+K42+K43</f>
        <v>17.379100000000001</v>
      </c>
      <c r="L39" s="119">
        <v>12.8</v>
      </c>
      <c r="M39" s="119"/>
      <c r="N39" s="173"/>
      <c r="O39" s="173"/>
    </row>
    <row r="40" spans="1:18" ht="12.75">
      <c r="A40" s="113" t="s">
        <v>133</v>
      </c>
      <c r="B40" s="114" t="s">
        <v>94</v>
      </c>
      <c r="C40" s="115">
        <v>1</v>
      </c>
      <c r="D40" s="131"/>
      <c r="E40" s="131"/>
      <c r="F40" s="131"/>
      <c r="G40" s="117"/>
      <c r="H40" s="119"/>
      <c r="I40" s="119"/>
      <c r="J40" s="119"/>
      <c r="K40" s="119"/>
      <c r="L40" s="119"/>
      <c r="M40" s="119"/>
      <c r="N40" s="173"/>
      <c r="O40" s="173"/>
    </row>
    <row r="41" spans="1:18" ht="12.75">
      <c r="A41" s="113" t="s">
        <v>134</v>
      </c>
      <c r="B41" s="114" t="s">
        <v>94</v>
      </c>
      <c r="C41" s="115">
        <v>1</v>
      </c>
      <c r="D41" s="131"/>
      <c r="E41" s="131"/>
      <c r="F41" s="131"/>
      <c r="G41" s="117">
        <v>10.532999999999999</v>
      </c>
      <c r="H41" s="119">
        <v>3.8370000000000002</v>
      </c>
      <c r="I41" s="119">
        <v>2.6739999999999999</v>
      </c>
      <c r="J41" s="119">
        <v>2.4500000000000002</v>
      </c>
      <c r="K41" s="119">
        <v>2.7629999999999999</v>
      </c>
      <c r="L41" s="119">
        <v>2.1</v>
      </c>
      <c r="M41" s="119"/>
      <c r="N41" s="173"/>
      <c r="O41" s="173"/>
    </row>
    <row r="42" spans="1:18" ht="12.75">
      <c r="A42" s="113" t="s">
        <v>135</v>
      </c>
      <c r="B42" s="114" t="s">
        <v>94</v>
      </c>
      <c r="C42" s="115">
        <v>1</v>
      </c>
      <c r="D42" s="131"/>
      <c r="E42" s="131"/>
      <c r="F42" s="131"/>
      <c r="G42" s="117"/>
      <c r="H42" s="119"/>
      <c r="I42" s="119"/>
      <c r="J42" s="119"/>
      <c r="K42" s="119"/>
      <c r="L42" s="119">
        <v>8.9</v>
      </c>
      <c r="M42" s="119"/>
      <c r="N42" s="173"/>
      <c r="O42" s="173"/>
    </row>
    <row r="43" spans="1:18" ht="12.75">
      <c r="A43" s="113" t="s">
        <v>136</v>
      </c>
      <c r="B43" s="114" t="s">
        <v>94</v>
      </c>
      <c r="C43" s="115">
        <v>1</v>
      </c>
      <c r="D43" s="131"/>
      <c r="E43" s="131"/>
      <c r="F43" s="131"/>
      <c r="G43" s="117"/>
      <c r="H43" s="119">
        <v>7.0350000000000001</v>
      </c>
      <c r="I43" s="119">
        <v>11.975</v>
      </c>
      <c r="J43" s="119">
        <v>38.94</v>
      </c>
      <c r="K43" s="119">
        <v>14.616099999999999</v>
      </c>
      <c r="L43" s="119">
        <v>1.9</v>
      </c>
      <c r="M43" s="119"/>
      <c r="N43" s="173"/>
      <c r="O43" s="173"/>
    </row>
    <row r="44" spans="1:18" ht="12.75">
      <c r="A44" s="113" t="s">
        <v>137</v>
      </c>
      <c r="B44" s="114" t="s">
        <v>94</v>
      </c>
      <c r="C44" s="115">
        <v>1</v>
      </c>
      <c r="D44" s="131"/>
      <c r="E44" s="131"/>
      <c r="F44" s="131"/>
      <c r="G44" s="117">
        <v>18.646999999999998</v>
      </c>
      <c r="H44" s="119">
        <v>32.148000000000003</v>
      </c>
      <c r="I44" s="119">
        <v>26.481000000000002</v>
      </c>
      <c r="J44" s="119">
        <v>16.829999999999998</v>
      </c>
      <c r="K44" s="119">
        <v>17.293900000000001</v>
      </c>
      <c r="L44" s="119">
        <v>11</v>
      </c>
      <c r="M44" s="119"/>
      <c r="N44" s="173"/>
      <c r="O44" s="173"/>
      <c r="P44" s="167"/>
    </row>
    <row r="45" spans="1:18" ht="12.75">
      <c r="A45" s="113" t="s">
        <v>138</v>
      </c>
      <c r="B45" s="114" t="s">
        <v>94</v>
      </c>
      <c r="C45" s="115">
        <v>1</v>
      </c>
      <c r="D45" s="131"/>
      <c r="E45" s="131"/>
      <c r="F45" s="131"/>
      <c r="G45" s="117"/>
      <c r="H45" s="119"/>
      <c r="I45" s="119"/>
      <c r="J45" s="119"/>
      <c r="K45" s="119"/>
      <c r="L45" s="119"/>
      <c r="M45" s="119"/>
      <c r="N45" s="173"/>
      <c r="O45" s="173"/>
    </row>
    <row r="46" spans="1:18" ht="12.75">
      <c r="A46" s="113" t="s">
        <v>139</v>
      </c>
      <c r="B46" s="114" t="s">
        <v>94</v>
      </c>
      <c r="C46" s="115">
        <v>1</v>
      </c>
      <c r="D46" s="131"/>
      <c r="E46" s="131"/>
      <c r="F46" s="131"/>
      <c r="G46" s="117">
        <v>368.57799999999997</v>
      </c>
      <c r="H46" s="119">
        <v>519.75699999999995</v>
      </c>
      <c r="I46" s="119">
        <v>631.20000000000005</v>
      </c>
      <c r="J46" s="119">
        <v>520.28</v>
      </c>
      <c r="K46" s="119">
        <v>501.36630000000002</v>
      </c>
      <c r="L46" s="119">
        <v>377.47</v>
      </c>
      <c r="M46" s="119"/>
      <c r="N46" s="173"/>
      <c r="O46" s="173"/>
      <c r="P46" s="167"/>
    </row>
    <row r="47" spans="1:18" ht="21">
      <c r="A47" s="113" t="s">
        <v>140</v>
      </c>
      <c r="B47" s="114" t="s">
        <v>94</v>
      </c>
      <c r="C47" s="115">
        <v>1</v>
      </c>
      <c r="D47" s="131"/>
      <c r="E47" s="131"/>
      <c r="F47" s="131"/>
      <c r="G47" s="117">
        <v>8.9909999999999997</v>
      </c>
      <c r="H47" s="119">
        <v>12.006</v>
      </c>
      <c r="I47" s="119">
        <v>14.66</v>
      </c>
      <c r="J47" s="119">
        <v>18.68</v>
      </c>
      <c r="K47" s="119">
        <v>22.4054</v>
      </c>
      <c r="L47" s="119">
        <v>14.28</v>
      </c>
      <c r="M47" s="119"/>
      <c r="N47" s="173"/>
      <c r="O47" s="173"/>
    </row>
    <row r="48" spans="1:18" ht="12.75">
      <c r="A48" s="113" t="s">
        <v>141</v>
      </c>
      <c r="B48" s="114" t="s">
        <v>94</v>
      </c>
      <c r="C48" s="115">
        <v>1</v>
      </c>
      <c r="D48" s="131"/>
      <c r="E48" s="131"/>
      <c r="F48" s="131"/>
      <c r="G48" s="117">
        <v>61.433999999999997</v>
      </c>
      <c r="H48" s="119">
        <v>7.7329999999999997</v>
      </c>
      <c r="I48" s="119">
        <v>35.624000000000002</v>
      </c>
      <c r="J48" s="119">
        <v>36.6</v>
      </c>
      <c r="K48" s="119">
        <v>19.287500000000001</v>
      </c>
      <c r="L48" s="119">
        <v>23.59</v>
      </c>
      <c r="M48" s="119"/>
      <c r="N48" s="173"/>
      <c r="O48" s="173"/>
    </row>
    <row r="49" spans="1:17" ht="12.75">
      <c r="A49" s="113" t="s">
        <v>142</v>
      </c>
      <c r="B49" s="114" t="s">
        <v>94</v>
      </c>
      <c r="C49" s="115">
        <v>1</v>
      </c>
      <c r="D49" s="131"/>
      <c r="E49" s="131"/>
      <c r="F49" s="131"/>
      <c r="G49" s="117">
        <v>40.642000000000003</v>
      </c>
      <c r="H49" s="119">
        <v>49.768000000000001</v>
      </c>
      <c r="I49" s="119">
        <v>55.872999999999998</v>
      </c>
      <c r="J49" s="119">
        <v>27.98</v>
      </c>
      <c r="K49" s="119">
        <f>K50+K51+K52+K53</f>
        <v>10.412500000000001</v>
      </c>
      <c r="L49" s="119">
        <v>8.34</v>
      </c>
      <c r="M49" s="119"/>
      <c r="N49" s="173"/>
      <c r="O49" s="173"/>
      <c r="P49" s="167"/>
    </row>
    <row r="50" spans="1:17" ht="12.75">
      <c r="A50" s="113" t="s">
        <v>143</v>
      </c>
      <c r="B50" s="114" t="s">
        <v>94</v>
      </c>
      <c r="C50" s="115"/>
      <c r="D50" s="131"/>
      <c r="E50" s="131"/>
      <c r="F50" s="131"/>
      <c r="G50" s="117"/>
      <c r="H50" s="119"/>
      <c r="I50" s="119">
        <v>0.21</v>
      </c>
      <c r="J50" s="119">
        <v>0.21</v>
      </c>
      <c r="K50" s="119"/>
      <c r="L50" s="119"/>
      <c r="M50" s="119"/>
      <c r="N50" s="173"/>
      <c r="O50" s="173"/>
    </row>
    <row r="51" spans="1:17" ht="12.75">
      <c r="A51" s="113" t="s">
        <v>144</v>
      </c>
      <c r="B51" s="114" t="s">
        <v>94</v>
      </c>
      <c r="C51" s="115">
        <v>1</v>
      </c>
      <c r="D51" s="131"/>
      <c r="E51" s="131"/>
      <c r="F51" s="131"/>
      <c r="G51" s="117">
        <v>30.803000000000001</v>
      </c>
      <c r="H51" s="119"/>
      <c r="I51" s="119">
        <v>43.53</v>
      </c>
      <c r="J51" s="119">
        <v>14.34</v>
      </c>
      <c r="K51" s="119">
        <v>0.2145</v>
      </c>
      <c r="L51" s="119"/>
      <c r="M51" s="119"/>
      <c r="N51" s="173"/>
      <c r="O51" s="173"/>
    </row>
    <row r="52" spans="1:17" ht="12.75">
      <c r="A52" s="113" t="s">
        <v>145</v>
      </c>
      <c r="B52" s="114" t="s">
        <v>94</v>
      </c>
      <c r="C52" s="115">
        <v>1</v>
      </c>
      <c r="D52" s="131"/>
      <c r="E52" s="131"/>
      <c r="F52" s="131"/>
      <c r="G52" s="117">
        <v>9.8390000000000004</v>
      </c>
      <c r="H52" s="119">
        <v>7.1890000000000001</v>
      </c>
      <c r="I52" s="119">
        <v>6.56</v>
      </c>
      <c r="J52" s="119">
        <v>8.7200000000000006</v>
      </c>
      <c r="K52" s="119">
        <v>5.6694000000000004</v>
      </c>
      <c r="L52" s="119">
        <v>8.1</v>
      </c>
      <c r="M52" s="119"/>
      <c r="N52" s="173"/>
      <c r="O52" s="173"/>
    </row>
    <row r="53" spans="1:17" ht="12.75">
      <c r="A53" s="113" t="s">
        <v>146</v>
      </c>
      <c r="B53" s="114" t="s">
        <v>94</v>
      </c>
      <c r="C53" s="115">
        <v>1</v>
      </c>
      <c r="D53" s="131"/>
      <c r="E53" s="131"/>
      <c r="F53" s="131"/>
      <c r="G53" s="117">
        <v>0</v>
      </c>
      <c r="H53" s="119"/>
      <c r="I53" s="119">
        <v>5.57</v>
      </c>
      <c r="J53" s="119">
        <v>4.71</v>
      </c>
      <c r="K53" s="119">
        <v>4.5286</v>
      </c>
      <c r="L53" s="119"/>
      <c r="M53" s="119"/>
      <c r="N53" s="173"/>
      <c r="O53" s="173"/>
    </row>
    <row r="54" spans="1:17" ht="31.5">
      <c r="A54" s="113" t="s">
        <v>147</v>
      </c>
      <c r="B54" s="114" t="s">
        <v>94</v>
      </c>
      <c r="C54" s="115"/>
      <c r="D54" s="131"/>
      <c r="E54" s="131"/>
      <c r="F54" s="131"/>
      <c r="G54" s="117"/>
      <c r="H54" s="119"/>
      <c r="I54" s="119"/>
      <c r="J54" s="119">
        <v>36.874000000000002</v>
      </c>
      <c r="K54" s="119"/>
      <c r="L54" s="119"/>
      <c r="M54" s="119"/>
      <c r="N54" s="173"/>
      <c r="O54" s="173"/>
    </row>
    <row r="55" spans="1:17" ht="12.75">
      <c r="A55" s="113" t="s">
        <v>148</v>
      </c>
      <c r="B55" s="114" t="s">
        <v>94</v>
      </c>
      <c r="C55" s="115"/>
      <c r="D55" s="131"/>
      <c r="E55" s="131"/>
      <c r="F55" s="131"/>
      <c r="G55" s="117">
        <v>20.631</v>
      </c>
      <c r="H55" s="119">
        <v>3.5760000000000001</v>
      </c>
      <c r="I55" s="119">
        <v>7.5490000000000004</v>
      </c>
      <c r="J55" s="119">
        <v>4.03</v>
      </c>
      <c r="K55" s="119">
        <v>5.2991000000000001</v>
      </c>
      <c r="L55" s="119">
        <f>505.25-499.43</f>
        <v>5.8199999999999932</v>
      </c>
      <c r="M55" s="119"/>
      <c r="N55" s="173"/>
      <c r="O55" s="173"/>
    </row>
    <row r="56" spans="1:17" ht="12.75">
      <c r="A56" s="113" t="s">
        <v>149</v>
      </c>
      <c r="B56" s="114" t="s">
        <v>94</v>
      </c>
      <c r="C56" s="115"/>
      <c r="D56" s="131"/>
      <c r="E56" s="131"/>
      <c r="F56" s="131"/>
      <c r="G56" s="117">
        <v>13.289</v>
      </c>
      <c r="H56" s="119">
        <f>H6-H34</f>
        <v>56.117400000000089</v>
      </c>
      <c r="I56" s="119">
        <v>57.2</v>
      </c>
      <c r="J56" s="119">
        <f>J6-J34</f>
        <v>-48.843499999999949</v>
      </c>
      <c r="K56" s="119">
        <f>K6-K34</f>
        <v>-7.2080999999998312</v>
      </c>
      <c r="L56" s="119">
        <f>L34-L6</f>
        <v>-44.129999999999939</v>
      </c>
      <c r="M56" s="119"/>
      <c r="N56" s="173"/>
      <c r="O56" s="173"/>
    </row>
    <row r="57" spans="1:17" ht="12.75">
      <c r="A57" s="113" t="s">
        <v>150</v>
      </c>
      <c r="B57" s="114" t="s">
        <v>94</v>
      </c>
      <c r="C57" s="115"/>
      <c r="D57" s="131"/>
      <c r="E57" s="131"/>
      <c r="F57" s="131"/>
      <c r="G57" s="117">
        <v>0</v>
      </c>
      <c r="H57" s="119">
        <f>142/1000</f>
        <v>0.14199999999999999</v>
      </c>
      <c r="I57" s="119">
        <f>142/1000</f>
        <v>0.14199999999999999</v>
      </c>
      <c r="J57" s="119">
        <v>0</v>
      </c>
      <c r="K57" s="119"/>
      <c r="L57" s="119"/>
      <c r="M57" s="119"/>
      <c r="N57" s="173"/>
      <c r="O57" s="173"/>
    </row>
    <row r="58" spans="1:17" ht="18.75">
      <c r="A58" s="197"/>
      <c r="B58" s="198"/>
      <c r="C58" s="199"/>
      <c r="D58" s="200"/>
      <c r="E58" s="201"/>
      <c r="F58" s="199"/>
      <c r="L58" s="247"/>
      <c r="N58" s="194"/>
      <c r="O58" s="194"/>
    </row>
    <row r="59" spans="1:17" ht="28.5" customHeight="1">
      <c r="A59" s="379" t="s">
        <v>219</v>
      </c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</row>
    <row r="60" spans="1:17" ht="16.5" customHeight="1">
      <c r="A60" s="203"/>
      <c r="B60" s="203"/>
      <c r="C60" s="203"/>
      <c r="D60" s="203"/>
      <c r="E60" s="203"/>
      <c r="F60" s="203"/>
      <c r="G60" s="203"/>
      <c r="H60" s="246"/>
      <c r="I60" s="246"/>
      <c r="J60" s="246"/>
      <c r="K60" s="246"/>
      <c r="L60" s="246"/>
      <c r="M60" s="246"/>
      <c r="N60" s="246"/>
      <c r="O60" s="246"/>
    </row>
    <row r="61" spans="1:17" ht="16.5" customHeight="1">
      <c r="A61" s="203"/>
      <c r="B61" s="203"/>
      <c r="C61" s="203"/>
      <c r="D61" s="203"/>
      <c r="E61" s="203"/>
      <c r="F61" s="203"/>
      <c r="G61" s="203"/>
      <c r="H61" s="246"/>
      <c r="I61" s="246"/>
      <c r="J61" s="246"/>
      <c r="K61" s="246"/>
      <c r="L61" s="246"/>
      <c r="M61" s="246"/>
      <c r="N61" s="246"/>
      <c r="O61" s="246"/>
    </row>
    <row r="62" spans="1:17" ht="16.5" customHeight="1">
      <c r="A62" s="203"/>
      <c r="B62" s="203"/>
      <c r="C62" s="203"/>
      <c r="D62" s="203"/>
      <c r="E62" s="203"/>
      <c r="F62" s="203"/>
      <c r="G62" s="203"/>
      <c r="H62" s="246"/>
      <c r="I62" s="246"/>
      <c r="J62" s="246"/>
      <c r="K62" s="246"/>
      <c r="L62" s="246"/>
      <c r="M62" s="246"/>
      <c r="N62" s="246"/>
      <c r="O62" s="246"/>
    </row>
    <row r="63" spans="1:17" ht="56.25" customHeight="1">
      <c r="A63" s="203"/>
      <c r="B63" s="203"/>
      <c r="C63" s="203"/>
      <c r="D63" s="203"/>
      <c r="E63" s="203"/>
      <c r="F63" s="203"/>
      <c r="G63" s="203"/>
      <c r="H63" s="246"/>
      <c r="I63" s="246"/>
      <c r="J63" s="246"/>
      <c r="K63" s="246"/>
      <c r="L63" s="246"/>
      <c r="M63" s="246"/>
      <c r="N63" s="246"/>
      <c r="O63" s="246"/>
    </row>
    <row r="64" spans="1:17" ht="56.25" customHeight="1">
      <c r="A64" s="203"/>
      <c r="B64" s="203"/>
      <c r="C64" s="203"/>
      <c r="D64" s="203"/>
      <c r="E64" s="203"/>
      <c r="F64" s="203"/>
      <c r="G64" s="203"/>
      <c r="H64" s="246"/>
      <c r="I64" s="246"/>
      <c r="J64" s="246"/>
      <c r="K64" s="246"/>
      <c r="L64" s="246"/>
      <c r="M64" s="246"/>
      <c r="N64" s="246"/>
      <c r="O64" s="246"/>
    </row>
    <row r="65" spans="1:15" ht="56.25" customHeight="1">
      <c r="A65" s="203"/>
      <c r="B65" s="203"/>
      <c r="C65" s="203"/>
      <c r="D65" s="203"/>
      <c r="E65" s="203"/>
      <c r="F65" s="203"/>
      <c r="G65" s="203"/>
      <c r="H65" s="246"/>
      <c r="I65" s="246"/>
      <c r="J65" s="246"/>
      <c r="K65" s="246"/>
      <c r="L65" s="246"/>
      <c r="M65" s="246"/>
      <c r="N65" s="246"/>
      <c r="O65" s="246"/>
    </row>
    <row r="66" spans="1:15" ht="56.25" customHeight="1">
      <c r="A66" s="203"/>
      <c r="B66" s="203"/>
      <c r="C66" s="203"/>
      <c r="D66" s="203"/>
      <c r="E66" s="203"/>
      <c r="F66" s="203"/>
      <c r="G66" s="203"/>
      <c r="H66" s="246"/>
      <c r="I66" s="246"/>
      <c r="J66" s="246"/>
      <c r="K66" s="246"/>
      <c r="L66" s="246"/>
      <c r="M66" s="246"/>
      <c r="N66" s="246"/>
      <c r="O66" s="246"/>
    </row>
    <row r="67" spans="1:15" ht="56.25" customHeight="1">
      <c r="A67" s="203"/>
      <c r="B67" s="203"/>
      <c r="C67" s="203"/>
      <c r="D67" s="203"/>
      <c r="E67" s="203"/>
      <c r="F67" s="203"/>
      <c r="G67" s="203"/>
      <c r="H67" s="246"/>
      <c r="I67" s="246"/>
      <c r="J67" s="246"/>
      <c r="K67" s="246"/>
      <c r="L67" s="246"/>
      <c r="M67" s="246"/>
      <c r="N67" s="246"/>
      <c r="O67" s="246"/>
    </row>
    <row r="68" spans="1:15" ht="18.75">
      <c r="A68" s="204"/>
      <c r="B68" s="198"/>
      <c r="C68" s="199"/>
      <c r="D68" s="200"/>
      <c r="E68" s="201"/>
      <c r="F68" s="199"/>
      <c r="G68" s="202"/>
      <c r="H68" s="194"/>
      <c r="I68" s="194"/>
      <c r="J68" s="194"/>
      <c r="K68" s="194"/>
      <c r="L68" s="194"/>
      <c r="M68" s="194"/>
      <c r="N68" s="194"/>
      <c r="O68" s="194"/>
    </row>
    <row r="69" spans="1:15" ht="18.75">
      <c r="A69" s="204"/>
      <c r="B69" s="198"/>
      <c r="C69" s="199"/>
      <c r="D69" s="200"/>
      <c r="E69" s="201"/>
      <c r="F69" s="199"/>
      <c r="G69" s="202"/>
      <c r="H69" s="194"/>
      <c r="I69" s="194"/>
      <c r="J69" s="194"/>
      <c r="K69" s="194"/>
      <c r="L69" s="194"/>
      <c r="M69" s="194"/>
      <c r="N69" s="194"/>
      <c r="O69" s="194"/>
    </row>
    <row r="70" spans="1:15" ht="18.75">
      <c r="A70" s="204"/>
      <c r="B70" s="198"/>
      <c r="C70" s="199"/>
      <c r="D70" s="200"/>
      <c r="E70" s="201"/>
      <c r="F70" s="199"/>
      <c r="G70" s="202"/>
      <c r="H70" s="194"/>
      <c r="I70" s="194"/>
      <c r="J70" s="194"/>
      <c r="K70" s="194"/>
      <c r="L70" s="194"/>
      <c r="M70" s="194"/>
      <c r="N70" s="194"/>
      <c r="O70" s="194"/>
    </row>
    <row r="71" spans="1:15" ht="18.75">
      <c r="A71" s="204"/>
      <c r="B71" s="198"/>
      <c r="C71" s="199"/>
      <c r="D71" s="200"/>
      <c r="E71" s="201"/>
      <c r="F71" s="199"/>
      <c r="G71" s="202"/>
      <c r="H71" s="194"/>
      <c r="I71" s="194"/>
      <c r="J71" s="194"/>
      <c r="K71" s="194"/>
      <c r="L71" s="194"/>
      <c r="M71" s="194"/>
      <c r="N71" s="194"/>
      <c r="O71" s="194"/>
    </row>
    <row r="72" spans="1:15" ht="18.75">
      <c r="A72" s="204"/>
      <c r="B72" s="198"/>
      <c r="C72" s="199"/>
      <c r="D72" s="200"/>
      <c r="E72" s="201"/>
      <c r="F72" s="199"/>
      <c r="G72" s="202"/>
      <c r="H72" s="194"/>
      <c r="I72" s="194"/>
      <c r="J72" s="194"/>
      <c r="K72" s="194"/>
      <c r="L72" s="194"/>
      <c r="M72" s="194"/>
      <c r="N72" s="194"/>
      <c r="O72" s="194"/>
    </row>
    <row r="73" spans="1:15">
      <c r="A73" s="198"/>
      <c r="B73" s="198"/>
      <c r="C73" s="199"/>
      <c r="D73" s="200"/>
      <c r="E73" s="201"/>
      <c r="F73" s="199"/>
      <c r="G73" s="202"/>
      <c r="H73" s="194"/>
      <c r="I73" s="194"/>
      <c r="J73" s="194"/>
      <c r="K73" s="194"/>
      <c r="L73" s="194"/>
      <c r="M73" s="194"/>
      <c r="N73" s="194"/>
      <c r="O73" s="194"/>
    </row>
    <row r="74" spans="1:15">
      <c r="A74" s="198"/>
      <c r="B74" s="198"/>
      <c r="C74" s="199"/>
      <c r="D74" s="200"/>
      <c r="E74" s="201"/>
      <c r="F74" s="199"/>
      <c r="G74" s="202"/>
      <c r="H74" s="194"/>
      <c r="I74" s="194"/>
      <c r="J74" s="194"/>
      <c r="K74" s="194"/>
      <c r="L74" s="194"/>
      <c r="M74" s="194"/>
      <c r="N74" s="194"/>
      <c r="O74" s="194"/>
    </row>
    <row r="75" spans="1:15">
      <c r="A75" s="198"/>
      <c r="B75" s="198"/>
      <c r="C75" s="199"/>
      <c r="D75" s="200"/>
      <c r="E75" s="201"/>
      <c r="F75" s="199"/>
      <c r="G75" s="202"/>
      <c r="H75" s="194"/>
      <c r="I75" s="194"/>
      <c r="J75" s="194"/>
      <c r="K75" s="194"/>
      <c r="L75" s="194"/>
      <c r="M75" s="194"/>
      <c r="N75" s="194"/>
      <c r="O75" s="194"/>
    </row>
    <row r="76" spans="1:15" ht="12.75">
      <c r="A76" s="198"/>
      <c r="B76" s="198"/>
      <c r="C76" s="199"/>
      <c r="D76" s="200"/>
      <c r="E76" s="201"/>
      <c r="F76" s="199"/>
      <c r="G76" s="205">
        <v>77.86</v>
      </c>
      <c r="H76" s="245">
        <v>80.400000000000006</v>
      </c>
      <c r="I76" s="244"/>
      <c r="J76" s="244">
        <f>80.4+1.35</f>
        <v>81.75</v>
      </c>
      <c r="K76" s="244"/>
      <c r="L76" s="244"/>
      <c r="M76" s="244"/>
      <c r="N76" s="243">
        <f>J76+1.45</f>
        <v>83.2</v>
      </c>
      <c r="O76" s="243"/>
    </row>
    <row r="77" spans="1:15">
      <c r="A77" s="198"/>
      <c r="B77" s="198"/>
      <c r="C77" s="199"/>
      <c r="D77" s="200"/>
      <c r="E77" s="201"/>
      <c r="F77" s="199"/>
      <c r="G77" s="202"/>
      <c r="H77" s="194"/>
      <c r="I77" s="194"/>
      <c r="J77" s="194"/>
      <c r="K77" s="194"/>
      <c r="L77" s="194"/>
      <c r="M77" s="194"/>
      <c r="N77" s="194"/>
      <c r="O77" s="194"/>
    </row>
    <row r="78" spans="1:15">
      <c r="A78" s="198"/>
      <c r="B78" s="198"/>
      <c r="C78" s="199"/>
      <c r="D78" s="200"/>
      <c r="E78" s="201"/>
      <c r="F78" s="199"/>
      <c r="G78" s="202"/>
      <c r="H78" s="194"/>
      <c r="I78" s="194"/>
      <c r="J78" s="194"/>
      <c r="K78" s="194"/>
      <c r="L78" s="194"/>
      <c r="M78" s="194"/>
      <c r="N78" s="194"/>
      <c r="O78" s="194"/>
    </row>
    <row r="79" spans="1:15">
      <c r="A79" s="198"/>
      <c r="B79" s="198"/>
      <c r="C79" s="199"/>
      <c r="D79" s="200"/>
      <c r="E79" s="201"/>
      <c r="F79" s="199"/>
      <c r="G79" s="202"/>
      <c r="H79" s="194"/>
      <c r="I79" s="194"/>
      <c r="J79" s="194"/>
      <c r="K79" s="194"/>
      <c r="L79" s="194"/>
      <c r="M79" s="194"/>
      <c r="N79" s="194"/>
      <c r="O79" s="194"/>
    </row>
    <row r="80" spans="1:15">
      <c r="A80" s="198"/>
      <c r="B80" s="198"/>
      <c r="C80" s="199"/>
      <c r="D80" s="200"/>
      <c r="E80" s="201"/>
      <c r="F80" s="199"/>
      <c r="G80" s="202"/>
      <c r="H80" s="194"/>
      <c r="I80" s="194"/>
      <c r="J80" s="194"/>
      <c r="K80" s="194"/>
      <c r="L80" s="194"/>
      <c r="M80" s="194"/>
      <c r="N80" s="194"/>
      <c r="O80" s="194"/>
    </row>
    <row r="81" spans="1:15">
      <c r="A81" s="198"/>
      <c r="B81" s="198"/>
      <c r="C81" s="199"/>
      <c r="D81" s="200"/>
      <c r="E81" s="201"/>
      <c r="F81" s="199"/>
      <c r="G81" s="202"/>
      <c r="H81" s="194"/>
      <c r="I81" s="194"/>
      <c r="J81" s="194"/>
      <c r="K81" s="194"/>
      <c r="L81" s="194"/>
      <c r="M81" s="194"/>
      <c r="N81" s="194"/>
      <c r="O81" s="194"/>
    </row>
    <row r="82" spans="1:15">
      <c r="A82" s="198"/>
      <c r="B82" s="198"/>
      <c r="C82" s="199"/>
      <c r="D82" s="200"/>
      <c r="E82" s="201"/>
      <c r="F82" s="199"/>
      <c r="G82" s="202"/>
      <c r="H82" s="194"/>
      <c r="I82" s="194"/>
      <c r="J82" s="194"/>
      <c r="K82" s="194"/>
      <c r="L82" s="194"/>
      <c r="M82" s="194"/>
      <c r="N82" s="194"/>
      <c r="O82" s="194"/>
    </row>
    <row r="83" spans="1:15">
      <c r="A83" s="198"/>
      <c r="B83" s="198"/>
      <c r="C83" s="199"/>
      <c r="D83" s="200"/>
      <c r="E83" s="201"/>
      <c r="F83" s="199"/>
      <c r="G83" s="202"/>
      <c r="H83" s="194"/>
      <c r="I83" s="194"/>
      <c r="J83" s="194"/>
      <c r="K83" s="194"/>
      <c r="L83" s="194"/>
      <c r="M83" s="194"/>
      <c r="N83" s="194"/>
      <c r="O83" s="194"/>
    </row>
    <row r="84" spans="1:15">
      <c r="A84" s="198"/>
      <c r="B84" s="198"/>
      <c r="C84" s="199"/>
      <c r="D84" s="200"/>
      <c r="E84" s="201"/>
      <c r="F84" s="199"/>
      <c r="G84" s="202"/>
      <c r="H84" s="194"/>
      <c r="I84" s="194"/>
      <c r="J84" s="194"/>
      <c r="K84" s="194"/>
      <c r="L84" s="194"/>
      <c r="M84" s="194"/>
      <c r="N84" s="194"/>
      <c r="O84" s="194"/>
    </row>
    <row r="85" spans="1:15">
      <c r="A85" s="198"/>
      <c r="B85" s="198"/>
      <c r="C85" s="199"/>
      <c r="D85" s="200"/>
      <c r="E85" s="201"/>
      <c r="F85" s="199"/>
      <c r="G85" s="202"/>
      <c r="H85" s="194"/>
      <c r="I85" s="194"/>
      <c r="J85" s="194"/>
      <c r="K85" s="194"/>
      <c r="L85" s="194"/>
      <c r="M85" s="194"/>
      <c r="N85" s="194"/>
      <c r="O85" s="194"/>
    </row>
    <row r="86" spans="1:15">
      <c r="A86" s="198"/>
      <c r="B86" s="198"/>
      <c r="C86" s="199"/>
      <c r="D86" s="200"/>
      <c r="E86" s="201"/>
      <c r="F86" s="199"/>
      <c r="G86" s="202"/>
      <c r="H86" s="194"/>
      <c r="I86" s="194"/>
      <c r="J86" s="194"/>
      <c r="K86" s="194"/>
      <c r="L86" s="194"/>
      <c r="M86" s="194"/>
      <c r="N86" s="194"/>
      <c r="O86" s="194"/>
    </row>
    <row r="87" spans="1:15">
      <c r="A87" s="198"/>
      <c r="B87" s="198"/>
      <c r="C87" s="199"/>
      <c r="D87" s="200"/>
      <c r="E87" s="201"/>
      <c r="F87" s="199"/>
      <c r="G87" s="202"/>
      <c r="H87" s="194"/>
      <c r="I87" s="194"/>
      <c r="J87" s="194"/>
      <c r="K87" s="194"/>
      <c r="L87" s="194"/>
      <c r="M87" s="194"/>
      <c r="N87" s="194"/>
      <c r="O87" s="194"/>
    </row>
    <row r="88" spans="1:15">
      <c r="A88" s="198"/>
      <c r="B88" s="198"/>
      <c r="C88" s="199"/>
      <c r="D88" s="200"/>
      <c r="E88" s="201"/>
      <c r="F88" s="199"/>
      <c r="G88" s="202"/>
      <c r="H88" s="194"/>
      <c r="I88" s="194"/>
      <c r="J88" s="194"/>
      <c r="K88" s="194"/>
      <c r="L88" s="194"/>
      <c r="M88" s="194"/>
      <c r="N88" s="194"/>
      <c r="O88" s="194"/>
    </row>
    <row r="89" spans="1:15">
      <c r="A89" s="198"/>
      <c r="B89" s="198"/>
      <c r="C89" s="199"/>
      <c r="D89" s="200"/>
      <c r="E89" s="201"/>
      <c r="F89" s="199"/>
      <c r="G89" s="202"/>
      <c r="H89" s="194"/>
      <c r="I89" s="194"/>
      <c r="J89" s="194"/>
      <c r="K89" s="194"/>
      <c r="L89" s="194"/>
      <c r="M89" s="194"/>
      <c r="N89" s="194"/>
      <c r="O89" s="194"/>
    </row>
    <row r="90" spans="1:15">
      <c r="A90" s="198"/>
      <c r="B90" s="198"/>
      <c r="C90" s="199"/>
      <c r="D90" s="200"/>
      <c r="E90" s="201"/>
      <c r="F90" s="199"/>
      <c r="G90" s="202"/>
      <c r="H90" s="194"/>
      <c r="I90" s="194"/>
      <c r="J90" s="194"/>
      <c r="K90" s="194"/>
      <c r="L90" s="194"/>
      <c r="M90" s="194"/>
      <c r="N90" s="194"/>
      <c r="O90" s="194"/>
    </row>
    <row r="91" spans="1:15">
      <c r="A91" s="198"/>
      <c r="B91" s="198"/>
      <c r="C91" s="199"/>
      <c r="D91" s="200"/>
      <c r="E91" s="201"/>
      <c r="F91" s="199"/>
      <c r="G91" s="202"/>
      <c r="H91" s="194"/>
      <c r="I91" s="194"/>
      <c r="J91" s="194"/>
      <c r="K91" s="194"/>
      <c r="L91" s="194"/>
      <c r="M91" s="194"/>
      <c r="N91" s="194"/>
      <c r="O91" s="194"/>
    </row>
    <row r="92" spans="1:15">
      <c r="A92" s="198"/>
      <c r="B92" s="198"/>
      <c r="C92" s="199"/>
      <c r="D92" s="200"/>
      <c r="E92" s="201"/>
      <c r="F92" s="199"/>
      <c r="G92" s="202"/>
      <c r="H92" s="194"/>
      <c r="I92" s="194"/>
      <c r="J92" s="194"/>
      <c r="K92" s="194"/>
      <c r="L92" s="194"/>
      <c r="M92" s="194"/>
      <c r="N92" s="194"/>
      <c r="O92" s="194"/>
    </row>
    <row r="93" spans="1:15">
      <c r="A93" s="198"/>
      <c r="B93" s="198"/>
      <c r="C93" s="199"/>
      <c r="D93" s="200"/>
      <c r="E93" s="201"/>
      <c r="F93" s="199"/>
      <c r="G93" s="202"/>
      <c r="H93" s="194"/>
      <c r="I93" s="194"/>
      <c r="J93" s="194"/>
      <c r="K93" s="194"/>
      <c r="L93" s="194"/>
      <c r="M93" s="194"/>
      <c r="N93" s="194"/>
      <c r="O93" s="194"/>
    </row>
    <row r="94" spans="1:15">
      <c r="A94" s="198"/>
      <c r="B94" s="198"/>
      <c r="C94" s="199"/>
      <c r="D94" s="200"/>
      <c r="E94" s="201"/>
      <c r="F94" s="199"/>
      <c r="G94" s="202"/>
      <c r="H94" s="194"/>
      <c r="I94" s="194"/>
      <c r="J94" s="194"/>
      <c r="K94" s="194"/>
      <c r="L94" s="194"/>
      <c r="M94" s="194"/>
      <c r="N94" s="194"/>
      <c r="O94" s="194"/>
    </row>
    <row r="95" spans="1:15">
      <c r="A95" s="198"/>
      <c r="B95" s="198"/>
      <c r="C95" s="199"/>
      <c r="D95" s="200"/>
      <c r="E95" s="201"/>
      <c r="F95" s="199"/>
      <c r="G95" s="202"/>
      <c r="H95" s="194"/>
      <c r="I95" s="194"/>
      <c r="J95" s="194"/>
      <c r="K95" s="194"/>
      <c r="L95" s="194"/>
      <c r="M95" s="194"/>
      <c r="N95" s="194"/>
      <c r="O95" s="194"/>
    </row>
    <row r="96" spans="1:15">
      <c r="A96" s="198"/>
      <c r="B96" s="198"/>
      <c r="C96" s="199"/>
      <c r="D96" s="200"/>
      <c r="E96" s="201"/>
      <c r="F96" s="199"/>
      <c r="G96" s="202"/>
      <c r="H96" s="194"/>
      <c r="I96" s="194"/>
      <c r="J96" s="194"/>
      <c r="K96" s="194"/>
      <c r="L96" s="194"/>
      <c r="M96" s="194"/>
      <c r="N96" s="194"/>
      <c r="O96" s="194"/>
    </row>
    <row r="97" spans="1:15">
      <c r="A97" s="198"/>
      <c r="B97" s="198"/>
      <c r="C97" s="199"/>
      <c r="D97" s="200"/>
      <c r="E97" s="201"/>
      <c r="F97" s="199"/>
      <c r="G97" s="202"/>
      <c r="H97" s="194"/>
      <c r="I97" s="194"/>
      <c r="J97" s="194"/>
      <c r="K97" s="194"/>
      <c r="L97" s="194"/>
      <c r="M97" s="194"/>
      <c r="N97" s="194"/>
      <c r="O97" s="194"/>
    </row>
    <row r="98" spans="1:15">
      <c r="A98" s="198"/>
      <c r="B98" s="198"/>
      <c r="C98" s="199"/>
      <c r="D98" s="200"/>
      <c r="E98" s="201"/>
      <c r="F98" s="199"/>
      <c r="G98" s="202"/>
      <c r="H98" s="194"/>
      <c r="I98" s="194"/>
      <c r="J98" s="194"/>
      <c r="K98" s="194"/>
      <c r="L98" s="194"/>
      <c r="M98" s="194"/>
      <c r="N98" s="194"/>
      <c r="O98" s="194"/>
    </row>
    <row r="99" spans="1:15">
      <c r="A99" s="198"/>
      <c r="B99" s="198"/>
      <c r="C99" s="199"/>
      <c r="D99" s="200"/>
      <c r="E99" s="201"/>
      <c r="F99" s="199"/>
      <c r="G99" s="202"/>
      <c r="H99" s="194"/>
      <c r="I99" s="194"/>
      <c r="J99" s="194"/>
      <c r="K99" s="194"/>
      <c r="L99" s="194"/>
      <c r="M99" s="194"/>
      <c r="N99" s="194"/>
      <c r="O99" s="194"/>
    </row>
    <row r="100" spans="1:15">
      <c r="A100" s="198"/>
      <c r="B100" s="198"/>
      <c r="C100" s="199"/>
      <c r="D100" s="200"/>
      <c r="E100" s="201"/>
      <c r="F100" s="199"/>
      <c r="G100" s="202"/>
      <c r="H100" s="194"/>
      <c r="I100" s="194"/>
      <c r="J100" s="194"/>
      <c r="K100" s="194"/>
      <c r="L100" s="194"/>
      <c r="M100" s="194"/>
      <c r="N100" s="194"/>
      <c r="O100" s="194"/>
    </row>
    <row r="101" spans="1:15">
      <c r="A101" s="198"/>
      <c r="B101" s="198"/>
      <c r="C101" s="199"/>
      <c r="D101" s="200"/>
      <c r="E101" s="201"/>
      <c r="F101" s="199"/>
      <c r="G101" s="202"/>
      <c r="H101" s="194"/>
      <c r="I101" s="194"/>
      <c r="J101" s="194"/>
      <c r="K101" s="194"/>
      <c r="L101" s="194"/>
      <c r="M101" s="194"/>
      <c r="N101" s="194"/>
      <c r="O101" s="194"/>
    </row>
    <row r="102" spans="1:15">
      <c r="A102" s="198"/>
      <c r="B102" s="198"/>
      <c r="C102" s="199"/>
      <c r="D102" s="200"/>
      <c r="E102" s="201"/>
      <c r="F102" s="199"/>
      <c r="G102" s="202"/>
      <c r="H102" s="194"/>
      <c r="I102" s="194"/>
      <c r="J102" s="194"/>
      <c r="K102" s="194"/>
      <c r="L102" s="194"/>
      <c r="M102" s="194"/>
      <c r="N102" s="194"/>
      <c r="O102" s="194"/>
    </row>
    <row r="103" spans="1:15">
      <c r="A103" s="198"/>
      <c r="B103" s="198"/>
      <c r="C103" s="199"/>
      <c r="D103" s="200"/>
      <c r="E103" s="201"/>
      <c r="F103" s="199"/>
      <c r="G103" s="202"/>
      <c r="H103" s="194"/>
      <c r="I103" s="194"/>
      <c r="J103" s="194"/>
      <c r="K103" s="194"/>
      <c r="L103" s="194"/>
      <c r="M103" s="194"/>
      <c r="N103" s="194"/>
      <c r="O103" s="194"/>
    </row>
    <row r="104" spans="1:15">
      <c r="A104" s="198"/>
      <c r="B104" s="198"/>
      <c r="C104" s="199"/>
      <c r="D104" s="200"/>
      <c r="E104" s="201"/>
      <c r="F104" s="199"/>
      <c r="G104" s="202"/>
      <c r="H104" s="194"/>
      <c r="I104" s="194"/>
      <c r="J104" s="194"/>
      <c r="K104" s="194"/>
      <c r="L104" s="194"/>
      <c r="M104" s="194"/>
      <c r="N104" s="194"/>
      <c r="O104" s="194"/>
    </row>
    <row r="105" spans="1:15">
      <c r="A105" s="198"/>
      <c r="B105" s="198"/>
      <c r="C105" s="199"/>
      <c r="D105" s="200"/>
      <c r="E105" s="201"/>
      <c r="F105" s="199"/>
      <c r="G105" s="202"/>
      <c r="H105" s="194"/>
      <c r="I105" s="194"/>
      <c r="J105" s="194"/>
      <c r="K105" s="194"/>
      <c r="L105" s="194"/>
      <c r="M105" s="194"/>
      <c r="N105" s="194"/>
      <c r="O105" s="194"/>
    </row>
    <row r="106" spans="1:15">
      <c r="A106" s="198"/>
      <c r="B106" s="198"/>
      <c r="C106" s="199"/>
      <c r="D106" s="200"/>
      <c r="E106" s="201"/>
      <c r="F106" s="199"/>
      <c r="G106" s="202"/>
      <c r="H106" s="194"/>
      <c r="I106" s="194"/>
      <c r="J106" s="194"/>
      <c r="K106" s="194"/>
      <c r="L106" s="194"/>
      <c r="M106" s="194"/>
      <c r="N106" s="194"/>
      <c r="O106" s="194"/>
    </row>
    <row r="107" spans="1:15">
      <c r="A107" s="198"/>
      <c r="B107" s="198"/>
      <c r="C107" s="199"/>
      <c r="D107" s="200"/>
      <c r="E107" s="201"/>
      <c r="F107" s="199"/>
      <c r="G107" s="202"/>
      <c r="H107" s="194"/>
      <c r="I107" s="194"/>
      <c r="J107" s="194"/>
      <c r="K107" s="194"/>
      <c r="L107" s="194"/>
      <c r="M107" s="194"/>
      <c r="N107" s="194"/>
      <c r="O107" s="194"/>
    </row>
    <row r="108" spans="1:15">
      <c r="A108" s="198"/>
      <c r="B108" s="198"/>
      <c r="C108" s="199"/>
      <c r="D108" s="200"/>
      <c r="E108" s="201"/>
      <c r="F108" s="199"/>
      <c r="G108" s="202"/>
      <c r="H108" s="194"/>
      <c r="I108" s="194"/>
      <c r="J108" s="194"/>
      <c r="K108" s="194"/>
      <c r="L108" s="194"/>
      <c r="M108" s="194"/>
      <c r="N108" s="194"/>
      <c r="O108" s="194"/>
    </row>
    <row r="109" spans="1:15">
      <c r="A109" s="198"/>
      <c r="B109" s="198"/>
      <c r="C109" s="199"/>
      <c r="D109" s="200"/>
      <c r="E109" s="201"/>
      <c r="F109" s="199"/>
      <c r="G109" s="202"/>
      <c r="H109" s="194"/>
      <c r="I109" s="194"/>
      <c r="J109" s="194"/>
      <c r="K109" s="194"/>
      <c r="L109" s="194"/>
      <c r="M109" s="194"/>
      <c r="N109" s="194"/>
      <c r="O109" s="194"/>
    </row>
    <row r="110" spans="1:15">
      <c r="A110" s="198"/>
      <c r="B110" s="198"/>
      <c r="C110" s="199"/>
      <c r="D110" s="200"/>
      <c r="E110" s="201"/>
      <c r="F110" s="199"/>
      <c r="G110" s="202"/>
      <c r="H110" s="194"/>
      <c r="I110" s="194"/>
      <c r="J110" s="194"/>
      <c r="K110" s="194"/>
      <c r="L110" s="194"/>
      <c r="M110" s="194"/>
      <c r="N110" s="194"/>
      <c r="O110" s="194"/>
    </row>
    <row r="111" spans="1:15">
      <c r="A111" s="198"/>
      <c r="B111" s="198"/>
      <c r="C111" s="199"/>
      <c r="D111" s="200"/>
      <c r="E111" s="201"/>
      <c r="F111" s="199"/>
      <c r="G111" s="202"/>
      <c r="H111" s="194"/>
      <c r="I111" s="194"/>
      <c r="J111" s="194"/>
      <c r="K111" s="194"/>
      <c r="L111" s="194"/>
      <c r="M111" s="194"/>
      <c r="N111" s="194"/>
      <c r="O111" s="194"/>
    </row>
    <row r="112" spans="1:15">
      <c r="A112" s="198"/>
      <c r="B112" s="198"/>
      <c r="C112" s="199"/>
      <c r="D112" s="200"/>
      <c r="E112" s="201"/>
      <c r="F112" s="199"/>
      <c r="G112" s="202"/>
      <c r="H112" s="194"/>
      <c r="I112" s="194"/>
      <c r="J112" s="194"/>
      <c r="K112" s="194"/>
      <c r="L112" s="194"/>
      <c r="M112" s="194"/>
      <c r="N112" s="194"/>
      <c r="O112" s="194"/>
    </row>
  </sheetData>
  <mergeCells count="15">
    <mergeCell ref="A59:Q59"/>
    <mergeCell ref="H2:K2"/>
    <mergeCell ref="K3:K4"/>
    <mergeCell ref="L2:L4"/>
    <mergeCell ref="A1:O1"/>
    <mergeCell ref="A2:A4"/>
    <mergeCell ref="B2:B4"/>
    <mergeCell ref="M2:O2"/>
    <mergeCell ref="G3:G4"/>
    <mergeCell ref="H3:H4"/>
    <mergeCell ref="I3:I4"/>
    <mergeCell ref="J3:J4"/>
    <mergeCell ref="M3:M4"/>
    <mergeCell ref="N3:N4"/>
    <mergeCell ref="O3:O4"/>
  </mergeCells>
  <conditionalFormatting sqref="G13:G14 A13:A14">
    <cfRule type="expression" dxfId="23" priority="6">
      <formula>#REF!&lt;#REF!</formula>
    </cfRule>
  </conditionalFormatting>
  <conditionalFormatting sqref="G34:G55">
    <cfRule type="expression" dxfId="22" priority="5">
      <formula>H$76&lt;&gt;SUM(H$77,H$81,H$86:H$91,H$96)</formula>
    </cfRule>
  </conditionalFormatting>
  <conditionalFormatting sqref="G39:G43">
    <cfRule type="expression" dxfId="21" priority="4">
      <formula>H$81&lt;&gt;SUM(H$82:H$85)</formula>
    </cfRule>
  </conditionalFormatting>
  <conditionalFormatting sqref="G49:G54">
    <cfRule type="expression" dxfId="20" priority="3">
      <formula>H$91&lt;&gt;SUM(H$92:H$95)</formula>
    </cfRule>
  </conditionalFormatting>
  <conditionalFormatting sqref="G9:G12">
    <cfRule type="expression" dxfId="19" priority="2">
      <formula>#REF!&lt;&gt;SUM(#REF!)</formula>
    </cfRule>
  </conditionalFormatting>
  <conditionalFormatting sqref="G8">
    <cfRule type="expression" dxfId="18" priority="1">
      <formula>#REF!&lt;&gt;SUM(#REF!)</formula>
    </cfRule>
  </conditionalFormatting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7"/>
  <sheetViews>
    <sheetView view="pageBreakPreview" zoomScaleNormal="85" zoomScaleSheetLayoutView="100" workbookViewId="0">
      <pane xSplit="15" ySplit="4" topLeftCell="P5" activePane="bottomRight" state="frozen"/>
      <selection pane="topRight" activeCell="O1" sqref="O1"/>
      <selection pane="bottomLeft" activeCell="A16" sqref="A16"/>
      <selection pane="bottomRight" activeCell="P20" sqref="P20"/>
    </sheetView>
  </sheetViews>
  <sheetFormatPr defaultColWidth="8.85546875" defaultRowHeight="12"/>
  <cols>
    <col min="1" max="1" width="45.140625" style="98" customWidth="1"/>
    <col min="2" max="2" width="12.5703125" style="98" customWidth="1"/>
    <col min="3" max="3" width="9.42578125" style="209" hidden="1" customWidth="1"/>
    <col min="4" max="4" width="5.140625" style="210" hidden="1" customWidth="1"/>
    <col min="5" max="5" width="6.28515625" style="211" hidden="1" customWidth="1"/>
    <col min="6" max="6" width="8.42578125" style="209" hidden="1" customWidth="1"/>
    <col min="7" max="7" width="10.85546875" style="98" hidden="1" customWidth="1"/>
    <col min="8" max="8" width="8.7109375" style="125" hidden="1" customWidth="1"/>
    <col min="9" max="11" width="8.7109375" style="125" customWidth="1"/>
    <col min="12" max="12" width="9.140625" style="125" customWidth="1"/>
    <col min="13" max="14" width="8.85546875" style="125" customWidth="1"/>
    <col min="15" max="15" width="9.42578125" style="125" customWidth="1"/>
    <col min="16" max="16" width="8.85546875" style="125" customWidth="1"/>
    <col min="17" max="17" width="14.7109375" style="98" customWidth="1"/>
    <col min="18" max="18" width="12.28515625" style="98" customWidth="1"/>
    <col min="19" max="20" width="7.140625" style="98" customWidth="1"/>
    <col min="21" max="259" width="8.85546875" style="98"/>
    <col min="260" max="260" width="50.28515625" style="98" customWidth="1"/>
    <col min="261" max="261" width="12.5703125" style="98" customWidth="1"/>
    <col min="262" max="266" width="0" style="98" hidden="1" customWidth="1"/>
    <col min="267" max="268" width="9.7109375" style="98" customWidth="1"/>
    <col min="269" max="270" width="10.7109375" style="98" customWidth="1"/>
    <col min="271" max="272" width="10.42578125" style="98" customWidth="1"/>
    <col min="273" max="273" width="7.140625" style="98" customWidth="1"/>
    <col min="274" max="274" width="12.28515625" style="98" customWidth="1"/>
    <col min="275" max="276" width="7.140625" style="98" customWidth="1"/>
    <col min="277" max="515" width="8.85546875" style="98"/>
    <col min="516" max="516" width="50.28515625" style="98" customWidth="1"/>
    <col min="517" max="517" width="12.5703125" style="98" customWidth="1"/>
    <col min="518" max="522" width="0" style="98" hidden="1" customWidth="1"/>
    <col min="523" max="524" width="9.7109375" style="98" customWidth="1"/>
    <col min="525" max="526" width="10.7109375" style="98" customWidth="1"/>
    <col min="527" max="528" width="10.42578125" style="98" customWidth="1"/>
    <col min="529" max="529" width="7.140625" style="98" customWidth="1"/>
    <col min="530" max="530" width="12.28515625" style="98" customWidth="1"/>
    <col min="531" max="532" width="7.140625" style="98" customWidth="1"/>
    <col min="533" max="771" width="8.85546875" style="98"/>
    <col min="772" max="772" width="50.28515625" style="98" customWidth="1"/>
    <col min="773" max="773" width="12.5703125" style="98" customWidth="1"/>
    <col min="774" max="778" width="0" style="98" hidden="1" customWidth="1"/>
    <col min="779" max="780" width="9.7109375" style="98" customWidth="1"/>
    <col min="781" max="782" width="10.7109375" style="98" customWidth="1"/>
    <col min="783" max="784" width="10.42578125" style="98" customWidth="1"/>
    <col min="785" max="785" width="7.140625" style="98" customWidth="1"/>
    <col min="786" max="786" width="12.28515625" style="98" customWidth="1"/>
    <col min="787" max="788" width="7.140625" style="98" customWidth="1"/>
    <col min="789" max="1027" width="8.85546875" style="98"/>
    <col min="1028" max="1028" width="50.28515625" style="98" customWidth="1"/>
    <col min="1029" max="1029" width="12.5703125" style="98" customWidth="1"/>
    <col min="1030" max="1034" width="0" style="98" hidden="1" customWidth="1"/>
    <col min="1035" max="1036" width="9.7109375" style="98" customWidth="1"/>
    <col min="1037" max="1038" width="10.7109375" style="98" customWidth="1"/>
    <col min="1039" max="1040" width="10.42578125" style="98" customWidth="1"/>
    <col min="1041" max="1041" width="7.140625" style="98" customWidth="1"/>
    <col min="1042" max="1042" width="12.28515625" style="98" customWidth="1"/>
    <col min="1043" max="1044" width="7.140625" style="98" customWidth="1"/>
    <col min="1045" max="1283" width="8.85546875" style="98"/>
    <col min="1284" max="1284" width="50.28515625" style="98" customWidth="1"/>
    <col min="1285" max="1285" width="12.5703125" style="98" customWidth="1"/>
    <col min="1286" max="1290" width="0" style="98" hidden="1" customWidth="1"/>
    <col min="1291" max="1292" width="9.7109375" style="98" customWidth="1"/>
    <col min="1293" max="1294" width="10.7109375" style="98" customWidth="1"/>
    <col min="1295" max="1296" width="10.42578125" style="98" customWidth="1"/>
    <col min="1297" max="1297" width="7.140625" style="98" customWidth="1"/>
    <col min="1298" max="1298" width="12.28515625" style="98" customWidth="1"/>
    <col min="1299" max="1300" width="7.140625" style="98" customWidth="1"/>
    <col min="1301" max="1539" width="8.85546875" style="98"/>
    <col min="1540" max="1540" width="50.28515625" style="98" customWidth="1"/>
    <col min="1541" max="1541" width="12.5703125" style="98" customWidth="1"/>
    <col min="1542" max="1546" width="0" style="98" hidden="1" customWidth="1"/>
    <col min="1547" max="1548" width="9.7109375" style="98" customWidth="1"/>
    <col min="1549" max="1550" width="10.7109375" style="98" customWidth="1"/>
    <col min="1551" max="1552" width="10.42578125" style="98" customWidth="1"/>
    <col min="1553" max="1553" width="7.140625" style="98" customWidth="1"/>
    <col min="1554" max="1554" width="12.28515625" style="98" customWidth="1"/>
    <col min="1555" max="1556" width="7.140625" style="98" customWidth="1"/>
    <col min="1557" max="1795" width="8.85546875" style="98"/>
    <col min="1796" max="1796" width="50.28515625" style="98" customWidth="1"/>
    <col min="1797" max="1797" width="12.5703125" style="98" customWidth="1"/>
    <col min="1798" max="1802" width="0" style="98" hidden="1" customWidth="1"/>
    <col min="1803" max="1804" width="9.7109375" style="98" customWidth="1"/>
    <col min="1805" max="1806" width="10.7109375" style="98" customWidth="1"/>
    <col min="1807" max="1808" width="10.42578125" style="98" customWidth="1"/>
    <col min="1809" max="1809" width="7.140625" style="98" customWidth="1"/>
    <col min="1810" max="1810" width="12.28515625" style="98" customWidth="1"/>
    <col min="1811" max="1812" width="7.140625" style="98" customWidth="1"/>
    <col min="1813" max="2051" width="8.85546875" style="98"/>
    <col min="2052" max="2052" width="50.28515625" style="98" customWidth="1"/>
    <col min="2053" max="2053" width="12.5703125" style="98" customWidth="1"/>
    <col min="2054" max="2058" width="0" style="98" hidden="1" customWidth="1"/>
    <col min="2059" max="2060" width="9.7109375" style="98" customWidth="1"/>
    <col min="2061" max="2062" width="10.7109375" style="98" customWidth="1"/>
    <col min="2063" max="2064" width="10.42578125" style="98" customWidth="1"/>
    <col min="2065" max="2065" width="7.140625" style="98" customWidth="1"/>
    <col min="2066" max="2066" width="12.28515625" style="98" customWidth="1"/>
    <col min="2067" max="2068" width="7.140625" style="98" customWidth="1"/>
    <col min="2069" max="2307" width="8.85546875" style="98"/>
    <col min="2308" max="2308" width="50.28515625" style="98" customWidth="1"/>
    <col min="2309" max="2309" width="12.5703125" style="98" customWidth="1"/>
    <col min="2310" max="2314" width="0" style="98" hidden="1" customWidth="1"/>
    <col min="2315" max="2316" width="9.7109375" style="98" customWidth="1"/>
    <col min="2317" max="2318" width="10.7109375" style="98" customWidth="1"/>
    <col min="2319" max="2320" width="10.42578125" style="98" customWidth="1"/>
    <col min="2321" max="2321" width="7.140625" style="98" customWidth="1"/>
    <col min="2322" max="2322" width="12.28515625" style="98" customWidth="1"/>
    <col min="2323" max="2324" width="7.140625" style="98" customWidth="1"/>
    <col min="2325" max="2563" width="8.85546875" style="98"/>
    <col min="2564" max="2564" width="50.28515625" style="98" customWidth="1"/>
    <col min="2565" max="2565" width="12.5703125" style="98" customWidth="1"/>
    <col min="2566" max="2570" width="0" style="98" hidden="1" customWidth="1"/>
    <col min="2571" max="2572" width="9.7109375" style="98" customWidth="1"/>
    <col min="2573" max="2574" width="10.7109375" style="98" customWidth="1"/>
    <col min="2575" max="2576" width="10.42578125" style="98" customWidth="1"/>
    <col min="2577" max="2577" width="7.140625" style="98" customWidth="1"/>
    <col min="2578" max="2578" width="12.28515625" style="98" customWidth="1"/>
    <col min="2579" max="2580" width="7.140625" style="98" customWidth="1"/>
    <col min="2581" max="2819" width="8.85546875" style="98"/>
    <col min="2820" max="2820" width="50.28515625" style="98" customWidth="1"/>
    <col min="2821" max="2821" width="12.5703125" style="98" customWidth="1"/>
    <col min="2822" max="2826" width="0" style="98" hidden="1" customWidth="1"/>
    <col min="2827" max="2828" width="9.7109375" style="98" customWidth="1"/>
    <col min="2829" max="2830" width="10.7109375" style="98" customWidth="1"/>
    <col min="2831" max="2832" width="10.42578125" style="98" customWidth="1"/>
    <col min="2833" max="2833" width="7.140625" style="98" customWidth="1"/>
    <col min="2834" max="2834" width="12.28515625" style="98" customWidth="1"/>
    <col min="2835" max="2836" width="7.140625" style="98" customWidth="1"/>
    <col min="2837" max="3075" width="8.85546875" style="98"/>
    <col min="3076" max="3076" width="50.28515625" style="98" customWidth="1"/>
    <col min="3077" max="3077" width="12.5703125" style="98" customWidth="1"/>
    <col min="3078" max="3082" width="0" style="98" hidden="1" customWidth="1"/>
    <col min="3083" max="3084" width="9.7109375" style="98" customWidth="1"/>
    <col min="3085" max="3086" width="10.7109375" style="98" customWidth="1"/>
    <col min="3087" max="3088" width="10.42578125" style="98" customWidth="1"/>
    <col min="3089" max="3089" width="7.140625" style="98" customWidth="1"/>
    <col min="3090" max="3090" width="12.28515625" style="98" customWidth="1"/>
    <col min="3091" max="3092" width="7.140625" style="98" customWidth="1"/>
    <col min="3093" max="3331" width="8.85546875" style="98"/>
    <col min="3332" max="3332" width="50.28515625" style="98" customWidth="1"/>
    <col min="3333" max="3333" width="12.5703125" style="98" customWidth="1"/>
    <col min="3334" max="3338" width="0" style="98" hidden="1" customWidth="1"/>
    <col min="3339" max="3340" width="9.7109375" style="98" customWidth="1"/>
    <col min="3341" max="3342" width="10.7109375" style="98" customWidth="1"/>
    <col min="3343" max="3344" width="10.42578125" style="98" customWidth="1"/>
    <col min="3345" max="3345" width="7.140625" style="98" customWidth="1"/>
    <col min="3346" max="3346" width="12.28515625" style="98" customWidth="1"/>
    <col min="3347" max="3348" width="7.140625" style="98" customWidth="1"/>
    <col min="3349" max="3587" width="8.85546875" style="98"/>
    <col min="3588" max="3588" width="50.28515625" style="98" customWidth="1"/>
    <col min="3589" max="3589" width="12.5703125" style="98" customWidth="1"/>
    <col min="3590" max="3594" width="0" style="98" hidden="1" customWidth="1"/>
    <col min="3595" max="3596" width="9.7109375" style="98" customWidth="1"/>
    <col min="3597" max="3598" width="10.7109375" style="98" customWidth="1"/>
    <col min="3599" max="3600" width="10.42578125" style="98" customWidth="1"/>
    <col min="3601" max="3601" width="7.140625" style="98" customWidth="1"/>
    <col min="3602" max="3602" width="12.28515625" style="98" customWidth="1"/>
    <col min="3603" max="3604" width="7.140625" style="98" customWidth="1"/>
    <col min="3605" max="3843" width="8.85546875" style="98"/>
    <col min="3844" max="3844" width="50.28515625" style="98" customWidth="1"/>
    <col min="3845" max="3845" width="12.5703125" style="98" customWidth="1"/>
    <col min="3846" max="3850" width="0" style="98" hidden="1" customWidth="1"/>
    <col min="3851" max="3852" width="9.7109375" style="98" customWidth="1"/>
    <col min="3853" max="3854" width="10.7109375" style="98" customWidth="1"/>
    <col min="3855" max="3856" width="10.42578125" style="98" customWidth="1"/>
    <col min="3857" max="3857" width="7.140625" style="98" customWidth="1"/>
    <col min="3858" max="3858" width="12.28515625" style="98" customWidth="1"/>
    <col min="3859" max="3860" width="7.140625" style="98" customWidth="1"/>
    <col min="3861" max="4099" width="8.85546875" style="98"/>
    <col min="4100" max="4100" width="50.28515625" style="98" customWidth="1"/>
    <col min="4101" max="4101" width="12.5703125" style="98" customWidth="1"/>
    <col min="4102" max="4106" width="0" style="98" hidden="1" customWidth="1"/>
    <col min="4107" max="4108" width="9.7109375" style="98" customWidth="1"/>
    <col min="4109" max="4110" width="10.7109375" style="98" customWidth="1"/>
    <col min="4111" max="4112" width="10.42578125" style="98" customWidth="1"/>
    <col min="4113" max="4113" width="7.140625" style="98" customWidth="1"/>
    <col min="4114" max="4114" width="12.28515625" style="98" customWidth="1"/>
    <col min="4115" max="4116" width="7.140625" style="98" customWidth="1"/>
    <col min="4117" max="4355" width="8.85546875" style="98"/>
    <col min="4356" max="4356" width="50.28515625" style="98" customWidth="1"/>
    <col min="4357" max="4357" width="12.5703125" style="98" customWidth="1"/>
    <col min="4358" max="4362" width="0" style="98" hidden="1" customWidth="1"/>
    <col min="4363" max="4364" width="9.7109375" style="98" customWidth="1"/>
    <col min="4365" max="4366" width="10.7109375" style="98" customWidth="1"/>
    <col min="4367" max="4368" width="10.42578125" style="98" customWidth="1"/>
    <col min="4369" max="4369" width="7.140625" style="98" customWidth="1"/>
    <col min="4370" max="4370" width="12.28515625" style="98" customWidth="1"/>
    <col min="4371" max="4372" width="7.140625" style="98" customWidth="1"/>
    <col min="4373" max="4611" width="8.85546875" style="98"/>
    <col min="4612" max="4612" width="50.28515625" style="98" customWidth="1"/>
    <col min="4613" max="4613" width="12.5703125" style="98" customWidth="1"/>
    <col min="4614" max="4618" width="0" style="98" hidden="1" customWidth="1"/>
    <col min="4619" max="4620" width="9.7109375" style="98" customWidth="1"/>
    <col min="4621" max="4622" width="10.7109375" style="98" customWidth="1"/>
    <col min="4623" max="4624" width="10.42578125" style="98" customWidth="1"/>
    <col min="4625" max="4625" width="7.140625" style="98" customWidth="1"/>
    <col min="4626" max="4626" width="12.28515625" style="98" customWidth="1"/>
    <col min="4627" max="4628" width="7.140625" style="98" customWidth="1"/>
    <col min="4629" max="4867" width="8.85546875" style="98"/>
    <col min="4868" max="4868" width="50.28515625" style="98" customWidth="1"/>
    <col min="4869" max="4869" width="12.5703125" style="98" customWidth="1"/>
    <col min="4870" max="4874" width="0" style="98" hidden="1" customWidth="1"/>
    <col min="4875" max="4876" width="9.7109375" style="98" customWidth="1"/>
    <col min="4877" max="4878" width="10.7109375" style="98" customWidth="1"/>
    <col min="4879" max="4880" width="10.42578125" style="98" customWidth="1"/>
    <col min="4881" max="4881" width="7.140625" style="98" customWidth="1"/>
    <col min="4882" max="4882" width="12.28515625" style="98" customWidth="1"/>
    <col min="4883" max="4884" width="7.140625" style="98" customWidth="1"/>
    <col min="4885" max="5123" width="8.85546875" style="98"/>
    <col min="5124" max="5124" width="50.28515625" style="98" customWidth="1"/>
    <col min="5125" max="5125" width="12.5703125" style="98" customWidth="1"/>
    <col min="5126" max="5130" width="0" style="98" hidden="1" customWidth="1"/>
    <col min="5131" max="5132" width="9.7109375" style="98" customWidth="1"/>
    <col min="5133" max="5134" width="10.7109375" style="98" customWidth="1"/>
    <col min="5135" max="5136" width="10.42578125" style="98" customWidth="1"/>
    <col min="5137" max="5137" width="7.140625" style="98" customWidth="1"/>
    <col min="5138" max="5138" width="12.28515625" style="98" customWidth="1"/>
    <col min="5139" max="5140" width="7.140625" style="98" customWidth="1"/>
    <col min="5141" max="5379" width="8.85546875" style="98"/>
    <col min="5380" max="5380" width="50.28515625" style="98" customWidth="1"/>
    <col min="5381" max="5381" width="12.5703125" style="98" customWidth="1"/>
    <col min="5382" max="5386" width="0" style="98" hidden="1" customWidth="1"/>
    <col min="5387" max="5388" width="9.7109375" style="98" customWidth="1"/>
    <col min="5389" max="5390" width="10.7109375" style="98" customWidth="1"/>
    <col min="5391" max="5392" width="10.42578125" style="98" customWidth="1"/>
    <col min="5393" max="5393" width="7.140625" style="98" customWidth="1"/>
    <col min="5394" max="5394" width="12.28515625" style="98" customWidth="1"/>
    <col min="5395" max="5396" width="7.140625" style="98" customWidth="1"/>
    <col min="5397" max="5635" width="8.85546875" style="98"/>
    <col min="5636" max="5636" width="50.28515625" style="98" customWidth="1"/>
    <col min="5637" max="5637" width="12.5703125" style="98" customWidth="1"/>
    <col min="5638" max="5642" width="0" style="98" hidden="1" customWidth="1"/>
    <col min="5643" max="5644" width="9.7109375" style="98" customWidth="1"/>
    <col min="5645" max="5646" width="10.7109375" style="98" customWidth="1"/>
    <col min="5647" max="5648" width="10.42578125" style="98" customWidth="1"/>
    <col min="5649" max="5649" width="7.140625" style="98" customWidth="1"/>
    <col min="5650" max="5650" width="12.28515625" style="98" customWidth="1"/>
    <col min="5651" max="5652" width="7.140625" style="98" customWidth="1"/>
    <col min="5653" max="5891" width="8.85546875" style="98"/>
    <col min="5892" max="5892" width="50.28515625" style="98" customWidth="1"/>
    <col min="5893" max="5893" width="12.5703125" style="98" customWidth="1"/>
    <col min="5894" max="5898" width="0" style="98" hidden="1" customWidth="1"/>
    <col min="5899" max="5900" width="9.7109375" style="98" customWidth="1"/>
    <col min="5901" max="5902" width="10.7109375" style="98" customWidth="1"/>
    <col min="5903" max="5904" width="10.42578125" style="98" customWidth="1"/>
    <col min="5905" max="5905" width="7.140625" style="98" customWidth="1"/>
    <col min="5906" max="5906" width="12.28515625" style="98" customWidth="1"/>
    <col min="5907" max="5908" width="7.140625" style="98" customWidth="1"/>
    <col min="5909" max="6147" width="8.85546875" style="98"/>
    <col min="6148" max="6148" width="50.28515625" style="98" customWidth="1"/>
    <col min="6149" max="6149" width="12.5703125" style="98" customWidth="1"/>
    <col min="6150" max="6154" width="0" style="98" hidden="1" customWidth="1"/>
    <col min="6155" max="6156" width="9.7109375" style="98" customWidth="1"/>
    <col min="6157" max="6158" width="10.7109375" style="98" customWidth="1"/>
    <col min="6159" max="6160" width="10.42578125" style="98" customWidth="1"/>
    <col min="6161" max="6161" width="7.140625" style="98" customWidth="1"/>
    <col min="6162" max="6162" width="12.28515625" style="98" customWidth="1"/>
    <col min="6163" max="6164" width="7.140625" style="98" customWidth="1"/>
    <col min="6165" max="6403" width="8.85546875" style="98"/>
    <col min="6404" max="6404" width="50.28515625" style="98" customWidth="1"/>
    <col min="6405" max="6405" width="12.5703125" style="98" customWidth="1"/>
    <col min="6406" max="6410" width="0" style="98" hidden="1" customWidth="1"/>
    <col min="6411" max="6412" width="9.7109375" style="98" customWidth="1"/>
    <col min="6413" max="6414" width="10.7109375" style="98" customWidth="1"/>
    <col min="6415" max="6416" width="10.42578125" style="98" customWidth="1"/>
    <col min="6417" max="6417" width="7.140625" style="98" customWidth="1"/>
    <col min="6418" max="6418" width="12.28515625" style="98" customWidth="1"/>
    <col min="6419" max="6420" width="7.140625" style="98" customWidth="1"/>
    <col min="6421" max="6659" width="8.85546875" style="98"/>
    <col min="6660" max="6660" width="50.28515625" style="98" customWidth="1"/>
    <col min="6661" max="6661" width="12.5703125" style="98" customWidth="1"/>
    <col min="6662" max="6666" width="0" style="98" hidden="1" customWidth="1"/>
    <col min="6667" max="6668" width="9.7109375" style="98" customWidth="1"/>
    <col min="6669" max="6670" width="10.7109375" style="98" customWidth="1"/>
    <col min="6671" max="6672" width="10.42578125" style="98" customWidth="1"/>
    <col min="6673" max="6673" width="7.140625" style="98" customWidth="1"/>
    <col min="6674" max="6674" width="12.28515625" style="98" customWidth="1"/>
    <col min="6675" max="6676" width="7.140625" style="98" customWidth="1"/>
    <col min="6677" max="6915" width="8.85546875" style="98"/>
    <col min="6916" max="6916" width="50.28515625" style="98" customWidth="1"/>
    <col min="6917" max="6917" width="12.5703125" style="98" customWidth="1"/>
    <col min="6918" max="6922" width="0" style="98" hidden="1" customWidth="1"/>
    <col min="6923" max="6924" width="9.7109375" style="98" customWidth="1"/>
    <col min="6925" max="6926" width="10.7109375" style="98" customWidth="1"/>
    <col min="6927" max="6928" width="10.42578125" style="98" customWidth="1"/>
    <col min="6929" max="6929" width="7.140625" style="98" customWidth="1"/>
    <col min="6930" max="6930" width="12.28515625" style="98" customWidth="1"/>
    <col min="6931" max="6932" width="7.140625" style="98" customWidth="1"/>
    <col min="6933" max="7171" width="8.85546875" style="98"/>
    <col min="7172" max="7172" width="50.28515625" style="98" customWidth="1"/>
    <col min="7173" max="7173" width="12.5703125" style="98" customWidth="1"/>
    <col min="7174" max="7178" width="0" style="98" hidden="1" customWidth="1"/>
    <col min="7179" max="7180" width="9.7109375" style="98" customWidth="1"/>
    <col min="7181" max="7182" width="10.7109375" style="98" customWidth="1"/>
    <col min="7183" max="7184" width="10.42578125" style="98" customWidth="1"/>
    <col min="7185" max="7185" width="7.140625" style="98" customWidth="1"/>
    <col min="7186" max="7186" width="12.28515625" style="98" customWidth="1"/>
    <col min="7187" max="7188" width="7.140625" style="98" customWidth="1"/>
    <col min="7189" max="7427" width="8.85546875" style="98"/>
    <col min="7428" max="7428" width="50.28515625" style="98" customWidth="1"/>
    <col min="7429" max="7429" width="12.5703125" style="98" customWidth="1"/>
    <col min="7430" max="7434" width="0" style="98" hidden="1" customWidth="1"/>
    <col min="7435" max="7436" width="9.7109375" style="98" customWidth="1"/>
    <col min="7437" max="7438" width="10.7109375" style="98" customWidth="1"/>
    <col min="7439" max="7440" width="10.42578125" style="98" customWidth="1"/>
    <col min="7441" max="7441" width="7.140625" style="98" customWidth="1"/>
    <col min="7442" max="7442" width="12.28515625" style="98" customWidth="1"/>
    <col min="7443" max="7444" width="7.140625" style="98" customWidth="1"/>
    <col min="7445" max="7683" width="8.85546875" style="98"/>
    <col min="7684" max="7684" width="50.28515625" style="98" customWidth="1"/>
    <col min="7685" max="7685" width="12.5703125" style="98" customWidth="1"/>
    <col min="7686" max="7690" width="0" style="98" hidden="1" customWidth="1"/>
    <col min="7691" max="7692" width="9.7109375" style="98" customWidth="1"/>
    <col min="7693" max="7694" width="10.7109375" style="98" customWidth="1"/>
    <col min="7695" max="7696" width="10.42578125" style="98" customWidth="1"/>
    <col min="7697" max="7697" width="7.140625" style="98" customWidth="1"/>
    <col min="7698" max="7698" width="12.28515625" style="98" customWidth="1"/>
    <col min="7699" max="7700" width="7.140625" style="98" customWidth="1"/>
    <col min="7701" max="7939" width="8.85546875" style="98"/>
    <col min="7940" max="7940" width="50.28515625" style="98" customWidth="1"/>
    <col min="7941" max="7941" width="12.5703125" style="98" customWidth="1"/>
    <col min="7942" max="7946" width="0" style="98" hidden="1" customWidth="1"/>
    <col min="7947" max="7948" width="9.7109375" style="98" customWidth="1"/>
    <col min="7949" max="7950" width="10.7109375" style="98" customWidth="1"/>
    <col min="7951" max="7952" width="10.42578125" style="98" customWidth="1"/>
    <col min="7953" max="7953" width="7.140625" style="98" customWidth="1"/>
    <col min="7954" max="7954" width="12.28515625" style="98" customWidth="1"/>
    <col min="7955" max="7956" width="7.140625" style="98" customWidth="1"/>
    <col min="7957" max="8195" width="8.85546875" style="98"/>
    <col min="8196" max="8196" width="50.28515625" style="98" customWidth="1"/>
    <col min="8197" max="8197" width="12.5703125" style="98" customWidth="1"/>
    <col min="8198" max="8202" width="0" style="98" hidden="1" customWidth="1"/>
    <col min="8203" max="8204" width="9.7109375" style="98" customWidth="1"/>
    <col min="8205" max="8206" width="10.7109375" style="98" customWidth="1"/>
    <col min="8207" max="8208" width="10.42578125" style="98" customWidth="1"/>
    <col min="8209" max="8209" width="7.140625" style="98" customWidth="1"/>
    <col min="8210" max="8210" width="12.28515625" style="98" customWidth="1"/>
    <col min="8211" max="8212" width="7.140625" style="98" customWidth="1"/>
    <col min="8213" max="8451" width="8.85546875" style="98"/>
    <col min="8452" max="8452" width="50.28515625" style="98" customWidth="1"/>
    <col min="8453" max="8453" width="12.5703125" style="98" customWidth="1"/>
    <col min="8454" max="8458" width="0" style="98" hidden="1" customWidth="1"/>
    <col min="8459" max="8460" width="9.7109375" style="98" customWidth="1"/>
    <col min="8461" max="8462" width="10.7109375" style="98" customWidth="1"/>
    <col min="8463" max="8464" width="10.42578125" style="98" customWidth="1"/>
    <col min="8465" max="8465" width="7.140625" style="98" customWidth="1"/>
    <col min="8466" max="8466" width="12.28515625" style="98" customWidth="1"/>
    <col min="8467" max="8468" width="7.140625" style="98" customWidth="1"/>
    <col min="8469" max="8707" width="8.85546875" style="98"/>
    <col min="8708" max="8708" width="50.28515625" style="98" customWidth="1"/>
    <col min="8709" max="8709" width="12.5703125" style="98" customWidth="1"/>
    <col min="8710" max="8714" width="0" style="98" hidden="1" customWidth="1"/>
    <col min="8715" max="8716" width="9.7109375" style="98" customWidth="1"/>
    <col min="8717" max="8718" width="10.7109375" style="98" customWidth="1"/>
    <col min="8719" max="8720" width="10.42578125" style="98" customWidth="1"/>
    <col min="8721" max="8721" width="7.140625" style="98" customWidth="1"/>
    <col min="8722" max="8722" width="12.28515625" style="98" customWidth="1"/>
    <col min="8723" max="8724" width="7.140625" style="98" customWidth="1"/>
    <col min="8725" max="8963" width="8.85546875" style="98"/>
    <col min="8964" max="8964" width="50.28515625" style="98" customWidth="1"/>
    <col min="8965" max="8965" width="12.5703125" style="98" customWidth="1"/>
    <col min="8966" max="8970" width="0" style="98" hidden="1" customWidth="1"/>
    <col min="8971" max="8972" width="9.7109375" style="98" customWidth="1"/>
    <col min="8973" max="8974" width="10.7109375" style="98" customWidth="1"/>
    <col min="8975" max="8976" width="10.42578125" style="98" customWidth="1"/>
    <col min="8977" max="8977" width="7.140625" style="98" customWidth="1"/>
    <col min="8978" max="8978" width="12.28515625" style="98" customWidth="1"/>
    <col min="8979" max="8980" width="7.140625" style="98" customWidth="1"/>
    <col min="8981" max="9219" width="8.85546875" style="98"/>
    <col min="9220" max="9220" width="50.28515625" style="98" customWidth="1"/>
    <col min="9221" max="9221" width="12.5703125" style="98" customWidth="1"/>
    <col min="9222" max="9226" width="0" style="98" hidden="1" customWidth="1"/>
    <col min="9227" max="9228" width="9.7109375" style="98" customWidth="1"/>
    <col min="9229" max="9230" width="10.7109375" style="98" customWidth="1"/>
    <col min="9231" max="9232" width="10.42578125" style="98" customWidth="1"/>
    <col min="9233" max="9233" width="7.140625" style="98" customWidth="1"/>
    <col min="9234" max="9234" width="12.28515625" style="98" customWidth="1"/>
    <col min="9235" max="9236" width="7.140625" style="98" customWidth="1"/>
    <col min="9237" max="9475" width="8.85546875" style="98"/>
    <col min="9476" max="9476" width="50.28515625" style="98" customWidth="1"/>
    <col min="9477" max="9477" width="12.5703125" style="98" customWidth="1"/>
    <col min="9478" max="9482" width="0" style="98" hidden="1" customWidth="1"/>
    <col min="9483" max="9484" width="9.7109375" style="98" customWidth="1"/>
    <col min="9485" max="9486" width="10.7109375" style="98" customWidth="1"/>
    <col min="9487" max="9488" width="10.42578125" style="98" customWidth="1"/>
    <col min="9489" max="9489" width="7.140625" style="98" customWidth="1"/>
    <col min="9490" max="9490" width="12.28515625" style="98" customWidth="1"/>
    <col min="9491" max="9492" width="7.140625" style="98" customWidth="1"/>
    <col min="9493" max="9731" width="8.85546875" style="98"/>
    <col min="9732" max="9732" width="50.28515625" style="98" customWidth="1"/>
    <col min="9733" max="9733" width="12.5703125" style="98" customWidth="1"/>
    <col min="9734" max="9738" width="0" style="98" hidden="1" customWidth="1"/>
    <col min="9739" max="9740" width="9.7109375" style="98" customWidth="1"/>
    <col min="9741" max="9742" width="10.7109375" style="98" customWidth="1"/>
    <col min="9743" max="9744" width="10.42578125" style="98" customWidth="1"/>
    <col min="9745" max="9745" width="7.140625" style="98" customWidth="1"/>
    <col min="9746" max="9746" width="12.28515625" style="98" customWidth="1"/>
    <col min="9747" max="9748" width="7.140625" style="98" customWidth="1"/>
    <col min="9749" max="9987" width="8.85546875" style="98"/>
    <col min="9988" max="9988" width="50.28515625" style="98" customWidth="1"/>
    <col min="9989" max="9989" width="12.5703125" style="98" customWidth="1"/>
    <col min="9990" max="9994" width="0" style="98" hidden="1" customWidth="1"/>
    <col min="9995" max="9996" width="9.7109375" style="98" customWidth="1"/>
    <col min="9997" max="9998" width="10.7109375" style="98" customWidth="1"/>
    <col min="9999" max="10000" width="10.42578125" style="98" customWidth="1"/>
    <col min="10001" max="10001" width="7.140625" style="98" customWidth="1"/>
    <col min="10002" max="10002" width="12.28515625" style="98" customWidth="1"/>
    <col min="10003" max="10004" width="7.140625" style="98" customWidth="1"/>
    <col min="10005" max="10243" width="8.85546875" style="98"/>
    <col min="10244" max="10244" width="50.28515625" style="98" customWidth="1"/>
    <col min="10245" max="10245" width="12.5703125" style="98" customWidth="1"/>
    <col min="10246" max="10250" width="0" style="98" hidden="1" customWidth="1"/>
    <col min="10251" max="10252" width="9.7109375" style="98" customWidth="1"/>
    <col min="10253" max="10254" width="10.7109375" style="98" customWidth="1"/>
    <col min="10255" max="10256" width="10.42578125" style="98" customWidth="1"/>
    <col min="10257" max="10257" width="7.140625" style="98" customWidth="1"/>
    <col min="10258" max="10258" width="12.28515625" style="98" customWidth="1"/>
    <col min="10259" max="10260" width="7.140625" style="98" customWidth="1"/>
    <col min="10261" max="10499" width="8.85546875" style="98"/>
    <col min="10500" max="10500" width="50.28515625" style="98" customWidth="1"/>
    <col min="10501" max="10501" width="12.5703125" style="98" customWidth="1"/>
    <col min="10502" max="10506" width="0" style="98" hidden="1" customWidth="1"/>
    <col min="10507" max="10508" width="9.7109375" style="98" customWidth="1"/>
    <col min="10509" max="10510" width="10.7109375" style="98" customWidth="1"/>
    <col min="10511" max="10512" width="10.42578125" style="98" customWidth="1"/>
    <col min="10513" max="10513" width="7.140625" style="98" customWidth="1"/>
    <col min="10514" max="10514" width="12.28515625" style="98" customWidth="1"/>
    <col min="10515" max="10516" width="7.140625" style="98" customWidth="1"/>
    <col min="10517" max="10755" width="8.85546875" style="98"/>
    <col min="10756" max="10756" width="50.28515625" style="98" customWidth="1"/>
    <col min="10757" max="10757" width="12.5703125" style="98" customWidth="1"/>
    <col min="10758" max="10762" width="0" style="98" hidden="1" customWidth="1"/>
    <col min="10763" max="10764" width="9.7109375" style="98" customWidth="1"/>
    <col min="10765" max="10766" width="10.7109375" style="98" customWidth="1"/>
    <col min="10767" max="10768" width="10.42578125" style="98" customWidth="1"/>
    <col min="10769" max="10769" width="7.140625" style="98" customWidth="1"/>
    <col min="10770" max="10770" width="12.28515625" style="98" customWidth="1"/>
    <col min="10771" max="10772" width="7.140625" style="98" customWidth="1"/>
    <col min="10773" max="11011" width="8.85546875" style="98"/>
    <col min="11012" max="11012" width="50.28515625" style="98" customWidth="1"/>
    <col min="11013" max="11013" width="12.5703125" style="98" customWidth="1"/>
    <col min="11014" max="11018" width="0" style="98" hidden="1" customWidth="1"/>
    <col min="11019" max="11020" width="9.7109375" style="98" customWidth="1"/>
    <col min="11021" max="11022" width="10.7109375" style="98" customWidth="1"/>
    <col min="11023" max="11024" width="10.42578125" style="98" customWidth="1"/>
    <col min="11025" max="11025" width="7.140625" style="98" customWidth="1"/>
    <col min="11026" max="11026" width="12.28515625" style="98" customWidth="1"/>
    <col min="11027" max="11028" width="7.140625" style="98" customWidth="1"/>
    <col min="11029" max="11267" width="8.85546875" style="98"/>
    <col min="11268" max="11268" width="50.28515625" style="98" customWidth="1"/>
    <col min="11269" max="11269" width="12.5703125" style="98" customWidth="1"/>
    <col min="11270" max="11274" width="0" style="98" hidden="1" customWidth="1"/>
    <col min="11275" max="11276" width="9.7109375" style="98" customWidth="1"/>
    <col min="11277" max="11278" width="10.7109375" style="98" customWidth="1"/>
    <col min="11279" max="11280" width="10.42578125" style="98" customWidth="1"/>
    <col min="11281" max="11281" width="7.140625" style="98" customWidth="1"/>
    <col min="11282" max="11282" width="12.28515625" style="98" customWidth="1"/>
    <col min="11283" max="11284" width="7.140625" style="98" customWidth="1"/>
    <col min="11285" max="11523" width="8.85546875" style="98"/>
    <col min="11524" max="11524" width="50.28515625" style="98" customWidth="1"/>
    <col min="11525" max="11525" width="12.5703125" style="98" customWidth="1"/>
    <col min="11526" max="11530" width="0" style="98" hidden="1" customWidth="1"/>
    <col min="11531" max="11532" width="9.7109375" style="98" customWidth="1"/>
    <col min="11533" max="11534" width="10.7109375" style="98" customWidth="1"/>
    <col min="11535" max="11536" width="10.42578125" style="98" customWidth="1"/>
    <col min="11537" max="11537" width="7.140625" style="98" customWidth="1"/>
    <col min="11538" max="11538" width="12.28515625" style="98" customWidth="1"/>
    <col min="11539" max="11540" width="7.140625" style="98" customWidth="1"/>
    <col min="11541" max="11779" width="8.85546875" style="98"/>
    <col min="11780" max="11780" width="50.28515625" style="98" customWidth="1"/>
    <col min="11781" max="11781" width="12.5703125" style="98" customWidth="1"/>
    <col min="11782" max="11786" width="0" style="98" hidden="1" customWidth="1"/>
    <col min="11787" max="11788" width="9.7109375" style="98" customWidth="1"/>
    <col min="11789" max="11790" width="10.7109375" style="98" customWidth="1"/>
    <col min="11791" max="11792" width="10.42578125" style="98" customWidth="1"/>
    <col min="11793" max="11793" width="7.140625" style="98" customWidth="1"/>
    <col min="11794" max="11794" width="12.28515625" style="98" customWidth="1"/>
    <col min="11795" max="11796" width="7.140625" style="98" customWidth="1"/>
    <col min="11797" max="12035" width="8.85546875" style="98"/>
    <col min="12036" max="12036" width="50.28515625" style="98" customWidth="1"/>
    <col min="12037" max="12037" width="12.5703125" style="98" customWidth="1"/>
    <col min="12038" max="12042" width="0" style="98" hidden="1" customWidth="1"/>
    <col min="12043" max="12044" width="9.7109375" style="98" customWidth="1"/>
    <col min="12045" max="12046" width="10.7109375" style="98" customWidth="1"/>
    <col min="12047" max="12048" width="10.42578125" style="98" customWidth="1"/>
    <col min="12049" max="12049" width="7.140625" style="98" customWidth="1"/>
    <col min="12050" max="12050" width="12.28515625" style="98" customWidth="1"/>
    <col min="12051" max="12052" width="7.140625" style="98" customWidth="1"/>
    <col min="12053" max="12291" width="8.85546875" style="98"/>
    <col min="12292" max="12292" width="50.28515625" style="98" customWidth="1"/>
    <col min="12293" max="12293" width="12.5703125" style="98" customWidth="1"/>
    <col min="12294" max="12298" width="0" style="98" hidden="1" customWidth="1"/>
    <col min="12299" max="12300" width="9.7109375" style="98" customWidth="1"/>
    <col min="12301" max="12302" width="10.7109375" style="98" customWidth="1"/>
    <col min="12303" max="12304" width="10.42578125" style="98" customWidth="1"/>
    <col min="12305" max="12305" width="7.140625" style="98" customWidth="1"/>
    <col min="12306" max="12306" width="12.28515625" style="98" customWidth="1"/>
    <col min="12307" max="12308" width="7.140625" style="98" customWidth="1"/>
    <col min="12309" max="12547" width="8.85546875" style="98"/>
    <col min="12548" max="12548" width="50.28515625" style="98" customWidth="1"/>
    <col min="12549" max="12549" width="12.5703125" style="98" customWidth="1"/>
    <col min="12550" max="12554" width="0" style="98" hidden="1" customWidth="1"/>
    <col min="12555" max="12556" width="9.7109375" style="98" customWidth="1"/>
    <col min="12557" max="12558" width="10.7109375" style="98" customWidth="1"/>
    <col min="12559" max="12560" width="10.42578125" style="98" customWidth="1"/>
    <col min="12561" max="12561" width="7.140625" style="98" customWidth="1"/>
    <col min="12562" max="12562" width="12.28515625" style="98" customWidth="1"/>
    <col min="12563" max="12564" width="7.140625" style="98" customWidth="1"/>
    <col min="12565" max="12803" width="8.85546875" style="98"/>
    <col min="12804" max="12804" width="50.28515625" style="98" customWidth="1"/>
    <col min="12805" max="12805" width="12.5703125" style="98" customWidth="1"/>
    <col min="12806" max="12810" width="0" style="98" hidden="1" customWidth="1"/>
    <col min="12811" max="12812" width="9.7109375" style="98" customWidth="1"/>
    <col min="12813" max="12814" width="10.7109375" style="98" customWidth="1"/>
    <col min="12815" max="12816" width="10.42578125" style="98" customWidth="1"/>
    <col min="12817" max="12817" width="7.140625" style="98" customWidth="1"/>
    <col min="12818" max="12818" width="12.28515625" style="98" customWidth="1"/>
    <col min="12819" max="12820" width="7.140625" style="98" customWidth="1"/>
    <col min="12821" max="13059" width="8.85546875" style="98"/>
    <col min="13060" max="13060" width="50.28515625" style="98" customWidth="1"/>
    <col min="13061" max="13061" width="12.5703125" style="98" customWidth="1"/>
    <col min="13062" max="13066" width="0" style="98" hidden="1" customWidth="1"/>
    <col min="13067" max="13068" width="9.7109375" style="98" customWidth="1"/>
    <col min="13069" max="13070" width="10.7109375" style="98" customWidth="1"/>
    <col min="13071" max="13072" width="10.42578125" style="98" customWidth="1"/>
    <col min="13073" max="13073" width="7.140625" style="98" customWidth="1"/>
    <col min="13074" max="13074" width="12.28515625" style="98" customWidth="1"/>
    <col min="13075" max="13076" width="7.140625" style="98" customWidth="1"/>
    <col min="13077" max="13315" width="8.85546875" style="98"/>
    <col min="13316" max="13316" width="50.28515625" style="98" customWidth="1"/>
    <col min="13317" max="13317" width="12.5703125" style="98" customWidth="1"/>
    <col min="13318" max="13322" width="0" style="98" hidden="1" customWidth="1"/>
    <col min="13323" max="13324" width="9.7109375" style="98" customWidth="1"/>
    <col min="13325" max="13326" width="10.7109375" style="98" customWidth="1"/>
    <col min="13327" max="13328" width="10.42578125" style="98" customWidth="1"/>
    <col min="13329" max="13329" width="7.140625" style="98" customWidth="1"/>
    <col min="13330" max="13330" width="12.28515625" style="98" customWidth="1"/>
    <col min="13331" max="13332" width="7.140625" style="98" customWidth="1"/>
    <col min="13333" max="13571" width="8.85546875" style="98"/>
    <col min="13572" max="13572" width="50.28515625" style="98" customWidth="1"/>
    <col min="13573" max="13573" width="12.5703125" style="98" customWidth="1"/>
    <col min="13574" max="13578" width="0" style="98" hidden="1" customWidth="1"/>
    <col min="13579" max="13580" width="9.7109375" style="98" customWidth="1"/>
    <col min="13581" max="13582" width="10.7109375" style="98" customWidth="1"/>
    <col min="13583" max="13584" width="10.42578125" style="98" customWidth="1"/>
    <col min="13585" max="13585" width="7.140625" style="98" customWidth="1"/>
    <col min="13586" max="13586" width="12.28515625" style="98" customWidth="1"/>
    <col min="13587" max="13588" width="7.140625" style="98" customWidth="1"/>
    <col min="13589" max="13827" width="8.85546875" style="98"/>
    <col min="13828" max="13828" width="50.28515625" style="98" customWidth="1"/>
    <col min="13829" max="13829" width="12.5703125" style="98" customWidth="1"/>
    <col min="13830" max="13834" width="0" style="98" hidden="1" customWidth="1"/>
    <col min="13835" max="13836" width="9.7109375" style="98" customWidth="1"/>
    <col min="13837" max="13838" width="10.7109375" style="98" customWidth="1"/>
    <col min="13839" max="13840" width="10.42578125" style="98" customWidth="1"/>
    <col min="13841" max="13841" width="7.140625" style="98" customWidth="1"/>
    <col min="13842" max="13842" width="12.28515625" style="98" customWidth="1"/>
    <col min="13843" max="13844" width="7.140625" style="98" customWidth="1"/>
    <col min="13845" max="14083" width="8.85546875" style="98"/>
    <col min="14084" max="14084" width="50.28515625" style="98" customWidth="1"/>
    <col min="14085" max="14085" width="12.5703125" style="98" customWidth="1"/>
    <col min="14086" max="14090" width="0" style="98" hidden="1" customWidth="1"/>
    <col min="14091" max="14092" width="9.7109375" style="98" customWidth="1"/>
    <col min="14093" max="14094" width="10.7109375" style="98" customWidth="1"/>
    <col min="14095" max="14096" width="10.42578125" style="98" customWidth="1"/>
    <col min="14097" max="14097" width="7.140625" style="98" customWidth="1"/>
    <col min="14098" max="14098" width="12.28515625" style="98" customWidth="1"/>
    <col min="14099" max="14100" width="7.140625" style="98" customWidth="1"/>
    <col min="14101" max="14339" width="8.85546875" style="98"/>
    <col min="14340" max="14340" width="50.28515625" style="98" customWidth="1"/>
    <col min="14341" max="14341" width="12.5703125" style="98" customWidth="1"/>
    <col min="14342" max="14346" width="0" style="98" hidden="1" customWidth="1"/>
    <col min="14347" max="14348" width="9.7109375" style="98" customWidth="1"/>
    <col min="14349" max="14350" width="10.7109375" style="98" customWidth="1"/>
    <col min="14351" max="14352" width="10.42578125" style="98" customWidth="1"/>
    <col min="14353" max="14353" width="7.140625" style="98" customWidth="1"/>
    <col min="14354" max="14354" width="12.28515625" style="98" customWidth="1"/>
    <col min="14355" max="14356" width="7.140625" style="98" customWidth="1"/>
    <col min="14357" max="14595" width="8.85546875" style="98"/>
    <col min="14596" max="14596" width="50.28515625" style="98" customWidth="1"/>
    <col min="14597" max="14597" width="12.5703125" style="98" customWidth="1"/>
    <col min="14598" max="14602" width="0" style="98" hidden="1" customWidth="1"/>
    <col min="14603" max="14604" width="9.7109375" style="98" customWidth="1"/>
    <col min="14605" max="14606" width="10.7109375" style="98" customWidth="1"/>
    <col min="14607" max="14608" width="10.42578125" style="98" customWidth="1"/>
    <col min="14609" max="14609" width="7.140625" style="98" customWidth="1"/>
    <col min="14610" max="14610" width="12.28515625" style="98" customWidth="1"/>
    <col min="14611" max="14612" width="7.140625" style="98" customWidth="1"/>
    <col min="14613" max="14851" width="8.85546875" style="98"/>
    <col min="14852" max="14852" width="50.28515625" style="98" customWidth="1"/>
    <col min="14853" max="14853" width="12.5703125" style="98" customWidth="1"/>
    <col min="14854" max="14858" width="0" style="98" hidden="1" customWidth="1"/>
    <col min="14859" max="14860" width="9.7109375" style="98" customWidth="1"/>
    <col min="14861" max="14862" width="10.7109375" style="98" customWidth="1"/>
    <col min="14863" max="14864" width="10.42578125" style="98" customWidth="1"/>
    <col min="14865" max="14865" width="7.140625" style="98" customWidth="1"/>
    <col min="14866" max="14866" width="12.28515625" style="98" customWidth="1"/>
    <col min="14867" max="14868" width="7.140625" style="98" customWidth="1"/>
    <col min="14869" max="15107" width="8.85546875" style="98"/>
    <col min="15108" max="15108" width="50.28515625" style="98" customWidth="1"/>
    <col min="15109" max="15109" width="12.5703125" style="98" customWidth="1"/>
    <col min="15110" max="15114" width="0" style="98" hidden="1" customWidth="1"/>
    <col min="15115" max="15116" width="9.7109375" style="98" customWidth="1"/>
    <col min="15117" max="15118" width="10.7109375" style="98" customWidth="1"/>
    <col min="15119" max="15120" width="10.42578125" style="98" customWidth="1"/>
    <col min="15121" max="15121" width="7.140625" style="98" customWidth="1"/>
    <col min="15122" max="15122" width="12.28515625" style="98" customWidth="1"/>
    <col min="15123" max="15124" width="7.140625" style="98" customWidth="1"/>
    <col min="15125" max="15363" width="8.85546875" style="98"/>
    <col min="15364" max="15364" width="50.28515625" style="98" customWidth="1"/>
    <col min="15365" max="15365" width="12.5703125" style="98" customWidth="1"/>
    <col min="15366" max="15370" width="0" style="98" hidden="1" customWidth="1"/>
    <col min="15371" max="15372" width="9.7109375" style="98" customWidth="1"/>
    <col min="15373" max="15374" width="10.7109375" style="98" customWidth="1"/>
    <col min="15375" max="15376" width="10.42578125" style="98" customWidth="1"/>
    <col min="15377" max="15377" width="7.140625" style="98" customWidth="1"/>
    <col min="15378" max="15378" width="12.28515625" style="98" customWidth="1"/>
    <col min="15379" max="15380" width="7.140625" style="98" customWidth="1"/>
    <col min="15381" max="15619" width="8.85546875" style="98"/>
    <col min="15620" max="15620" width="50.28515625" style="98" customWidth="1"/>
    <col min="15621" max="15621" width="12.5703125" style="98" customWidth="1"/>
    <col min="15622" max="15626" width="0" style="98" hidden="1" customWidth="1"/>
    <col min="15627" max="15628" width="9.7109375" style="98" customWidth="1"/>
    <col min="15629" max="15630" width="10.7109375" style="98" customWidth="1"/>
    <col min="15631" max="15632" width="10.42578125" style="98" customWidth="1"/>
    <col min="15633" max="15633" width="7.140625" style="98" customWidth="1"/>
    <col min="15634" max="15634" width="12.28515625" style="98" customWidth="1"/>
    <col min="15635" max="15636" width="7.140625" style="98" customWidth="1"/>
    <col min="15637" max="15875" width="8.85546875" style="98"/>
    <col min="15876" max="15876" width="50.28515625" style="98" customWidth="1"/>
    <col min="15877" max="15877" width="12.5703125" style="98" customWidth="1"/>
    <col min="15878" max="15882" width="0" style="98" hidden="1" customWidth="1"/>
    <col min="15883" max="15884" width="9.7109375" style="98" customWidth="1"/>
    <col min="15885" max="15886" width="10.7109375" style="98" customWidth="1"/>
    <col min="15887" max="15888" width="10.42578125" style="98" customWidth="1"/>
    <col min="15889" max="15889" width="7.140625" style="98" customWidth="1"/>
    <col min="15890" max="15890" width="12.28515625" style="98" customWidth="1"/>
    <col min="15891" max="15892" width="7.140625" style="98" customWidth="1"/>
    <col min="15893" max="16131" width="8.85546875" style="98"/>
    <col min="16132" max="16132" width="50.28515625" style="98" customWidth="1"/>
    <col min="16133" max="16133" width="12.5703125" style="98" customWidth="1"/>
    <col min="16134" max="16138" width="0" style="98" hidden="1" customWidth="1"/>
    <col min="16139" max="16140" width="9.7109375" style="98" customWidth="1"/>
    <col min="16141" max="16142" width="10.7109375" style="98" customWidth="1"/>
    <col min="16143" max="16144" width="10.42578125" style="98" customWidth="1"/>
    <col min="16145" max="16145" width="7.140625" style="98" customWidth="1"/>
    <col min="16146" max="16146" width="12.28515625" style="98" customWidth="1"/>
    <col min="16147" max="16148" width="7.140625" style="98" customWidth="1"/>
    <col min="16149" max="16384" width="8.85546875" style="98"/>
  </cols>
  <sheetData>
    <row r="1" spans="1:19" ht="35.25" customHeight="1">
      <c r="A1" s="380" t="s">
        <v>225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242"/>
    </row>
    <row r="2" spans="1:19" ht="42">
      <c r="A2" s="381" t="s">
        <v>2</v>
      </c>
      <c r="B2" s="377" t="s">
        <v>3</v>
      </c>
      <c r="C2" s="99" t="s">
        <v>4</v>
      </c>
      <c r="D2" s="100" t="s">
        <v>5</v>
      </c>
      <c r="E2" s="101" t="s">
        <v>6</v>
      </c>
      <c r="F2" s="100" t="s">
        <v>7</v>
      </c>
      <c r="G2" s="102" t="s">
        <v>8</v>
      </c>
      <c r="H2" s="403" t="s">
        <v>8</v>
      </c>
      <c r="I2" s="403"/>
      <c r="J2" s="403"/>
      <c r="K2" s="403"/>
      <c r="L2" s="249" t="s">
        <v>231</v>
      </c>
      <c r="M2" s="389" t="s">
        <v>10</v>
      </c>
      <c r="N2" s="390"/>
      <c r="O2" s="396"/>
      <c r="P2" s="250"/>
    </row>
    <row r="3" spans="1:19">
      <c r="A3" s="382"/>
      <c r="B3" s="384"/>
      <c r="C3" s="104"/>
      <c r="D3" s="105"/>
      <c r="E3" s="106"/>
      <c r="F3" s="104"/>
      <c r="G3" s="381">
        <v>2011</v>
      </c>
      <c r="H3" s="404">
        <v>2013</v>
      </c>
      <c r="I3" s="404">
        <v>2014</v>
      </c>
      <c r="J3" s="398">
        <v>2015</v>
      </c>
      <c r="K3" s="398">
        <v>2016</v>
      </c>
      <c r="L3" s="393">
        <v>2017</v>
      </c>
      <c r="M3" s="403">
        <v>2018</v>
      </c>
      <c r="N3" s="402">
        <v>2019</v>
      </c>
      <c r="O3" s="402">
        <v>2020</v>
      </c>
      <c r="P3" s="251"/>
    </row>
    <row r="4" spans="1:19">
      <c r="A4" s="383"/>
      <c r="B4" s="378"/>
      <c r="C4" s="104"/>
      <c r="D4" s="105"/>
      <c r="E4" s="106"/>
      <c r="F4" s="104"/>
      <c r="G4" s="383"/>
      <c r="H4" s="397"/>
      <c r="I4" s="397"/>
      <c r="J4" s="398"/>
      <c r="K4" s="398"/>
      <c r="L4" s="395"/>
      <c r="M4" s="403"/>
      <c r="N4" s="402"/>
      <c r="O4" s="402"/>
      <c r="P4" s="251"/>
    </row>
    <row r="5" spans="1:19" ht="14.25">
      <c r="A5" s="130" t="s">
        <v>28</v>
      </c>
      <c r="B5" s="134"/>
      <c r="C5" s="115"/>
      <c r="D5" s="131"/>
      <c r="E5" s="131"/>
      <c r="F5" s="131"/>
      <c r="G5" s="117"/>
      <c r="H5" s="119"/>
      <c r="I5" s="119"/>
      <c r="J5" s="119"/>
      <c r="K5" s="119"/>
      <c r="L5" s="119"/>
      <c r="M5" s="119"/>
      <c r="N5" s="119"/>
      <c r="O5" s="119"/>
      <c r="P5" s="252"/>
    </row>
    <row r="6" spans="1:19" ht="21">
      <c r="A6" s="113" t="s">
        <v>29</v>
      </c>
      <c r="B6" s="120" t="s">
        <v>30</v>
      </c>
      <c r="C6" s="118">
        <f>C10+C11</f>
        <v>2241.13</v>
      </c>
      <c r="D6" s="118">
        <f>D10+D11</f>
        <v>3044.4970000000003</v>
      </c>
      <c r="E6" s="118">
        <f>E10+E11</f>
        <v>3454.9</v>
      </c>
      <c r="F6" s="119">
        <v>3885.7</v>
      </c>
      <c r="G6" s="119">
        <v>4407</v>
      </c>
      <c r="H6" s="119">
        <f>H10+H11</f>
        <v>2241.13</v>
      </c>
      <c r="I6" s="119">
        <f>I10+I11</f>
        <v>3044.4970000000003</v>
      </c>
      <c r="J6" s="119">
        <f>J10+J11</f>
        <v>3454.9</v>
      </c>
      <c r="K6" s="253">
        <v>4443.9399999999996</v>
      </c>
      <c r="L6" s="218">
        <v>4417.93</v>
      </c>
      <c r="M6" s="218">
        <v>5239.5</v>
      </c>
      <c r="N6" s="218">
        <v>5501.47</v>
      </c>
      <c r="O6" s="218">
        <v>5831.56</v>
      </c>
      <c r="P6" s="254"/>
    </row>
    <row r="7" spans="1:19">
      <c r="A7" s="113" t="s">
        <v>14</v>
      </c>
      <c r="B7" s="120" t="s">
        <v>15</v>
      </c>
      <c r="C7" s="121"/>
      <c r="D7" s="121">
        <f>D6/C6*100/D8*100</f>
        <v>128.39935248368371</v>
      </c>
      <c r="E7" s="139">
        <f>E6/D6/E8*10000</f>
        <v>105.562937493986</v>
      </c>
      <c r="F7" s="138">
        <f>F6/E6/F8*10000</f>
        <v>106.00305992207818</v>
      </c>
      <c r="G7" s="139">
        <f>G6/F6/G8*10000</f>
        <v>106.09528357954846</v>
      </c>
      <c r="H7" s="121"/>
      <c r="I7" s="121">
        <f>I6/H6*100/I8*100</f>
        <v>128.39935248368371</v>
      </c>
      <c r="J7" s="138">
        <f>J6/H6/J8*10000</f>
        <v>143.40357164092572</v>
      </c>
      <c r="K7" s="138">
        <f>K6/J6/K8*10000</f>
        <v>119.65317880166153</v>
      </c>
      <c r="L7" s="138"/>
      <c r="M7" s="138"/>
      <c r="N7" s="138"/>
      <c r="O7" s="138"/>
      <c r="P7" s="255"/>
    </row>
    <row r="8" spans="1:19" ht="16.5" customHeight="1">
      <c r="A8" s="113" t="s">
        <v>16</v>
      </c>
      <c r="B8" s="120" t="s">
        <v>15</v>
      </c>
      <c r="C8" s="121">
        <v>109.9</v>
      </c>
      <c r="D8" s="121">
        <v>105.8</v>
      </c>
      <c r="E8" s="121">
        <v>107.5</v>
      </c>
      <c r="F8" s="121">
        <v>106.1</v>
      </c>
      <c r="G8" s="121">
        <v>106.9</v>
      </c>
      <c r="H8" s="121">
        <v>109.9</v>
      </c>
      <c r="I8" s="121">
        <v>105.8</v>
      </c>
      <c r="J8" s="121">
        <v>107.5</v>
      </c>
      <c r="K8" s="121">
        <v>107.5</v>
      </c>
      <c r="L8" s="121"/>
      <c r="M8" s="121"/>
      <c r="N8" s="121"/>
      <c r="O8" s="121"/>
      <c r="P8" s="256"/>
    </row>
    <row r="9" spans="1:19" ht="12.75">
      <c r="A9" s="136" t="s">
        <v>31</v>
      </c>
      <c r="B9" s="12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257"/>
      <c r="R9" s="142"/>
    </row>
    <row r="10" spans="1:19" ht="12.75">
      <c r="A10" s="143" t="s">
        <v>32</v>
      </c>
      <c r="B10" s="120" t="s">
        <v>30</v>
      </c>
      <c r="C10" s="144">
        <v>1347.52</v>
      </c>
      <c r="D10" s="144">
        <v>1943.3820000000001</v>
      </c>
      <c r="E10" s="144">
        <v>2225.3000000000002</v>
      </c>
      <c r="F10" s="145">
        <v>2502</v>
      </c>
      <c r="G10" s="145">
        <v>2724</v>
      </c>
      <c r="H10" s="145">
        <v>1347.52</v>
      </c>
      <c r="I10" s="145">
        <v>1943.3820000000001</v>
      </c>
      <c r="J10" s="145">
        <v>2225.3000000000002</v>
      </c>
      <c r="K10" s="258">
        <v>3058.74</v>
      </c>
      <c r="L10" s="145">
        <v>3167.75</v>
      </c>
      <c r="M10" s="145">
        <v>3620.03</v>
      </c>
      <c r="N10" s="145">
        <v>3801.03</v>
      </c>
      <c r="O10" s="145">
        <v>4029.09</v>
      </c>
      <c r="P10" s="252"/>
      <c r="R10" s="142"/>
    </row>
    <row r="11" spans="1:19" ht="12.75">
      <c r="A11" s="143" t="s">
        <v>33</v>
      </c>
      <c r="B11" s="120" t="s">
        <v>30</v>
      </c>
      <c r="C11" s="118">
        <v>893.61</v>
      </c>
      <c r="D11" s="118">
        <v>1101.115</v>
      </c>
      <c r="E11" s="118">
        <v>1229.5999999999999</v>
      </c>
      <c r="F11" s="119">
        <v>1383</v>
      </c>
      <c r="G11" s="119">
        <v>1683</v>
      </c>
      <c r="H11" s="119">
        <v>893.61</v>
      </c>
      <c r="I11" s="119">
        <v>1101.115</v>
      </c>
      <c r="J11" s="119">
        <v>1229.5999999999999</v>
      </c>
      <c r="K11" s="259">
        <v>1385.2</v>
      </c>
      <c r="L11" s="119">
        <v>1250.18</v>
      </c>
      <c r="M11" s="119">
        <v>1619.47</v>
      </c>
      <c r="N11" s="119">
        <v>1700.44</v>
      </c>
      <c r="O11" s="119">
        <v>1801.47</v>
      </c>
      <c r="P11" s="252"/>
    </row>
    <row r="12" spans="1:19" ht="35.25" customHeight="1">
      <c r="A12" s="124" t="s">
        <v>75</v>
      </c>
      <c r="B12" s="114"/>
      <c r="C12" s="115"/>
      <c r="D12" s="131"/>
      <c r="E12" s="131"/>
      <c r="F12" s="131"/>
      <c r="G12" s="117"/>
      <c r="H12" s="119"/>
      <c r="I12" s="119"/>
      <c r="J12" s="119"/>
      <c r="K12" s="119"/>
      <c r="L12" s="119"/>
      <c r="M12" s="119"/>
      <c r="N12" s="119"/>
      <c r="O12" s="119"/>
      <c r="P12" s="252"/>
    </row>
    <row r="13" spans="1:19" ht="21">
      <c r="A13" s="164" t="s">
        <v>76</v>
      </c>
      <c r="B13" s="165" t="s">
        <v>21</v>
      </c>
      <c r="C13" s="115">
        <v>1</v>
      </c>
      <c r="D13" s="131"/>
      <c r="E13" s="131"/>
      <c r="F13" s="131"/>
      <c r="G13" s="117">
        <v>5135.8</v>
      </c>
      <c r="H13" s="119">
        <v>1736.25</v>
      </c>
      <c r="I13" s="119">
        <v>3356.31</v>
      </c>
      <c r="J13" s="132">
        <f>J16+J25+J31+J32</f>
        <v>3858.1299999999997</v>
      </c>
      <c r="K13" s="132">
        <v>4343.29</v>
      </c>
      <c r="L13" s="119"/>
      <c r="M13" s="132"/>
      <c r="N13" s="119"/>
      <c r="O13" s="119"/>
      <c r="P13" s="252"/>
    </row>
    <row r="14" spans="1:19" ht="12.75">
      <c r="A14" s="113" t="s">
        <v>14</v>
      </c>
      <c r="B14" s="120" t="s">
        <v>15</v>
      </c>
      <c r="C14" s="115"/>
      <c r="D14" s="131"/>
      <c r="E14" s="131"/>
      <c r="F14" s="131"/>
      <c r="G14" s="117"/>
      <c r="H14" s="121">
        <f>H13/G13*100/H15*100</f>
        <v>31.624702636723356</v>
      </c>
      <c r="I14" s="121">
        <f>I13/H13*100/I15*100</f>
        <v>179.98881877159323</v>
      </c>
      <c r="J14" s="121">
        <f>J13/H13/J15*10000</f>
        <v>198.57954527176696</v>
      </c>
      <c r="K14" s="121">
        <f>K13/J13/K15*10000</f>
        <v>100.60322069052019</v>
      </c>
      <c r="L14" s="121"/>
      <c r="M14" s="121"/>
      <c r="N14" s="121"/>
      <c r="O14" s="121"/>
      <c r="P14" s="256"/>
    </row>
    <row r="15" spans="1:19" ht="12.75">
      <c r="A15" s="113" t="s">
        <v>16</v>
      </c>
      <c r="B15" s="120" t="s">
        <v>15</v>
      </c>
      <c r="C15" s="115"/>
      <c r="D15" s="131"/>
      <c r="E15" s="131"/>
      <c r="F15" s="131"/>
      <c r="G15" s="117"/>
      <c r="H15" s="121">
        <v>106.9</v>
      </c>
      <c r="I15" s="121">
        <v>107.4</v>
      </c>
      <c r="J15" s="121">
        <v>111.9</v>
      </c>
      <c r="K15" s="121">
        <v>111.9</v>
      </c>
      <c r="L15" s="121"/>
      <c r="M15" s="121"/>
      <c r="N15" s="121"/>
      <c r="O15" s="121"/>
      <c r="P15" s="256"/>
    </row>
    <row r="16" spans="1:19" ht="31.5">
      <c r="A16" s="136" t="s">
        <v>77</v>
      </c>
      <c r="B16" s="165" t="s">
        <v>49</v>
      </c>
      <c r="C16" s="115">
        <v>1</v>
      </c>
      <c r="D16" s="131"/>
      <c r="E16" s="131"/>
      <c r="F16" s="131"/>
      <c r="G16" s="117">
        <v>556.29999999999995</v>
      </c>
      <c r="H16" s="119">
        <v>37.64</v>
      </c>
      <c r="I16" s="119">
        <v>64.709999999999994</v>
      </c>
      <c r="J16" s="119">
        <v>1587.03</v>
      </c>
      <c r="K16" s="119">
        <v>521.79999999999995</v>
      </c>
      <c r="L16" s="119"/>
      <c r="M16" s="119"/>
      <c r="N16" s="119"/>
      <c r="O16" s="119"/>
      <c r="P16" s="252"/>
      <c r="Q16" s="137"/>
      <c r="R16" s="137"/>
      <c r="S16" s="137"/>
    </row>
    <row r="17" spans="1:17" ht="12.75">
      <c r="A17" s="136" t="s">
        <v>78</v>
      </c>
      <c r="B17" s="114"/>
      <c r="C17" s="115"/>
      <c r="D17" s="131"/>
      <c r="E17" s="131"/>
      <c r="F17" s="131"/>
      <c r="G17" s="117"/>
      <c r="H17" s="119"/>
      <c r="I17" s="119"/>
      <c r="J17" s="119"/>
      <c r="K17" s="119"/>
      <c r="L17" s="119"/>
      <c r="M17" s="119"/>
      <c r="N17" s="119"/>
      <c r="O17" s="119"/>
      <c r="P17" s="252"/>
    </row>
    <row r="18" spans="1:17" ht="12.75">
      <c r="A18" s="166" t="s">
        <v>79</v>
      </c>
      <c r="B18" s="165" t="s">
        <v>49</v>
      </c>
      <c r="C18" s="115">
        <v>1</v>
      </c>
      <c r="D18" s="131"/>
      <c r="E18" s="131"/>
      <c r="F18" s="131"/>
      <c r="G18" s="117"/>
      <c r="H18" s="119"/>
      <c r="I18" s="119"/>
      <c r="J18" s="119">
        <f>J16-J19</f>
        <v>1548.33</v>
      </c>
      <c r="K18" s="119">
        <f>K16-K19</f>
        <v>521.79999999999995</v>
      </c>
      <c r="L18" s="119"/>
      <c r="M18" s="119"/>
      <c r="N18" s="119"/>
      <c r="O18" s="119"/>
      <c r="P18" s="252"/>
    </row>
    <row r="19" spans="1:17" ht="12.75">
      <c r="A19" s="166" t="s">
        <v>80</v>
      </c>
      <c r="B19" s="165" t="s">
        <v>49</v>
      </c>
      <c r="C19" s="115">
        <v>1</v>
      </c>
      <c r="D19" s="131"/>
      <c r="E19" s="131"/>
      <c r="F19" s="131"/>
      <c r="G19" s="117"/>
      <c r="H19" s="119"/>
      <c r="I19" s="119">
        <v>37.6</v>
      </c>
      <c r="J19" s="119">
        <v>38.700000000000003</v>
      </c>
      <c r="K19" s="118"/>
      <c r="L19" s="119"/>
      <c r="M19" s="119"/>
      <c r="N19" s="119"/>
      <c r="O19" s="119"/>
      <c r="P19" s="252"/>
    </row>
    <row r="20" spans="1:17" ht="21">
      <c r="A20" s="136" t="s">
        <v>81</v>
      </c>
      <c r="B20" s="165" t="s">
        <v>49</v>
      </c>
      <c r="C20" s="115">
        <v>1</v>
      </c>
      <c r="D20" s="131"/>
      <c r="E20" s="131"/>
      <c r="F20" s="131"/>
      <c r="G20" s="117">
        <f>G22+G25+G31</f>
        <v>4569.4400000000005</v>
      </c>
      <c r="H20" s="119">
        <f t="shared" ref="H20:K20" si="0">H22+H25+H31+H32</f>
        <v>1698.6</v>
      </c>
      <c r="I20" s="119">
        <f t="shared" si="0"/>
        <v>2412.0600000000004</v>
      </c>
      <c r="J20" s="119">
        <f t="shared" si="0"/>
        <v>2271.1</v>
      </c>
      <c r="K20" s="119">
        <f t="shared" si="0"/>
        <v>1418.0060000000001</v>
      </c>
      <c r="L20" s="119"/>
      <c r="M20" s="119"/>
      <c r="N20" s="119"/>
      <c r="O20" s="119"/>
      <c r="P20" s="252"/>
      <c r="Q20" s="167"/>
    </row>
    <row r="21" spans="1:17" ht="12.75">
      <c r="A21" s="136" t="s">
        <v>78</v>
      </c>
      <c r="B21" s="114"/>
      <c r="C21" s="115"/>
      <c r="D21" s="131"/>
      <c r="E21" s="131"/>
      <c r="F21" s="131"/>
      <c r="G21" s="117"/>
      <c r="H21" s="119"/>
      <c r="I21" s="119"/>
      <c r="J21" s="119"/>
      <c r="K21" s="119"/>
      <c r="L21" s="119"/>
      <c r="M21" s="119"/>
      <c r="N21" s="119"/>
      <c r="O21" s="119"/>
      <c r="P21" s="252"/>
    </row>
    <row r="22" spans="1:17" ht="12.75">
      <c r="A22" s="166" t="s">
        <v>82</v>
      </c>
      <c r="B22" s="165" t="s">
        <v>49</v>
      </c>
      <c r="C22" s="115">
        <v>1</v>
      </c>
      <c r="D22" s="131"/>
      <c r="E22" s="131"/>
      <c r="F22" s="131"/>
      <c r="G22" s="117">
        <v>219.57</v>
      </c>
      <c r="H22" s="119">
        <v>34.173000000000002</v>
      </c>
      <c r="I22" s="119">
        <v>42.65</v>
      </c>
      <c r="J22" s="119"/>
      <c r="K22" s="119"/>
      <c r="L22" s="119"/>
      <c r="M22" s="119"/>
      <c r="N22" s="119"/>
      <c r="O22" s="119"/>
      <c r="P22" s="252"/>
    </row>
    <row r="23" spans="1:17" ht="14.25" customHeight="1">
      <c r="A23" s="168" t="s">
        <v>83</v>
      </c>
      <c r="B23" s="165" t="s">
        <v>49</v>
      </c>
      <c r="C23" s="115">
        <v>1</v>
      </c>
      <c r="D23" s="131"/>
      <c r="E23" s="131"/>
      <c r="F23" s="131"/>
      <c r="G23" s="117"/>
      <c r="H23" s="119"/>
      <c r="I23" s="119"/>
      <c r="J23" s="119"/>
      <c r="K23" s="119"/>
      <c r="L23" s="119"/>
      <c r="M23" s="119"/>
      <c r="N23" s="119"/>
      <c r="O23" s="119"/>
      <c r="P23" s="252"/>
    </row>
    <row r="24" spans="1:17" ht="12.75">
      <c r="A24" s="166" t="s">
        <v>84</v>
      </c>
      <c r="B24" s="165" t="s">
        <v>49</v>
      </c>
      <c r="C24" s="115">
        <v>1</v>
      </c>
      <c r="D24" s="131"/>
      <c r="E24" s="131"/>
      <c r="F24" s="131"/>
      <c r="G24" s="117"/>
      <c r="H24" s="119"/>
      <c r="I24" s="119"/>
      <c r="J24" s="119"/>
      <c r="K24" s="119"/>
      <c r="L24" s="119"/>
      <c r="M24" s="119"/>
      <c r="N24" s="119"/>
      <c r="O24" s="119"/>
      <c r="P24" s="252"/>
    </row>
    <row r="25" spans="1:17" ht="12.75">
      <c r="A25" s="166" t="s">
        <v>85</v>
      </c>
      <c r="B25" s="165" t="s">
        <v>49</v>
      </c>
      <c r="C25" s="115">
        <v>1</v>
      </c>
      <c r="D25" s="131"/>
      <c r="E25" s="131"/>
      <c r="F25" s="131"/>
      <c r="G25" s="117">
        <f t="shared" ref="G25:H25" si="1">G27+G29+G30</f>
        <v>1543.18</v>
      </c>
      <c r="H25" s="119">
        <f t="shared" si="1"/>
        <v>1116.6869999999999</v>
      </c>
      <c r="I25" s="119">
        <v>1378.99</v>
      </c>
      <c r="J25" s="118">
        <f>J27+J29+J30</f>
        <v>321.11</v>
      </c>
      <c r="K25" s="119">
        <v>488.05599999999998</v>
      </c>
      <c r="L25" s="119"/>
      <c r="M25" s="119"/>
      <c r="N25" s="119"/>
      <c r="O25" s="119"/>
      <c r="P25" s="252"/>
    </row>
    <row r="26" spans="1:17" ht="12.75">
      <c r="A26" s="166" t="s">
        <v>31</v>
      </c>
      <c r="B26" s="114"/>
      <c r="C26" s="115"/>
      <c r="D26" s="131"/>
      <c r="E26" s="131"/>
      <c r="F26" s="131"/>
      <c r="G26" s="117"/>
      <c r="H26" s="119"/>
      <c r="I26" s="119"/>
      <c r="J26" s="119"/>
      <c r="K26" s="119"/>
      <c r="L26" s="119"/>
      <c r="M26" s="119"/>
      <c r="N26" s="119"/>
      <c r="O26" s="119"/>
      <c r="P26" s="252"/>
    </row>
    <row r="27" spans="1:17" ht="12.75">
      <c r="A27" s="168" t="s">
        <v>86</v>
      </c>
      <c r="B27" s="165" t="s">
        <v>49</v>
      </c>
      <c r="C27" s="115">
        <v>1</v>
      </c>
      <c r="D27" s="131"/>
      <c r="E27" s="131"/>
      <c r="F27" s="131"/>
      <c r="G27" s="117">
        <v>1443.8</v>
      </c>
      <c r="H27" s="119">
        <v>930.21699999999998</v>
      </c>
      <c r="I27" s="119">
        <v>1225.5999999999999</v>
      </c>
      <c r="J27" s="119">
        <v>81.16</v>
      </c>
      <c r="K27" s="119">
        <v>56.41</v>
      </c>
      <c r="L27" s="119"/>
      <c r="M27" s="119"/>
      <c r="N27" s="119"/>
      <c r="O27" s="119"/>
      <c r="P27" s="252"/>
      <c r="Q27" s="137"/>
    </row>
    <row r="28" spans="1:17" ht="21">
      <c r="A28" s="169" t="s">
        <v>87</v>
      </c>
      <c r="B28" s="165" t="s">
        <v>49</v>
      </c>
      <c r="C28" s="115">
        <v>1</v>
      </c>
      <c r="D28" s="131"/>
      <c r="E28" s="131"/>
      <c r="F28" s="131"/>
      <c r="G28" s="117"/>
      <c r="H28" s="119"/>
      <c r="I28" s="119"/>
      <c r="J28" s="119"/>
      <c r="K28" s="119"/>
      <c r="L28" s="119"/>
      <c r="M28" s="119"/>
      <c r="N28" s="119"/>
      <c r="O28" s="119"/>
      <c r="P28" s="252"/>
      <c r="Q28" s="137"/>
    </row>
    <row r="29" spans="1:17" ht="12.75">
      <c r="A29" s="168" t="s">
        <v>88</v>
      </c>
      <c r="B29" s="165" t="s">
        <v>49</v>
      </c>
      <c r="C29" s="115">
        <v>1</v>
      </c>
      <c r="D29" s="131"/>
      <c r="E29" s="131"/>
      <c r="F29" s="131"/>
      <c r="G29" s="117">
        <v>64.209999999999994</v>
      </c>
      <c r="H29" s="119">
        <v>182.47</v>
      </c>
      <c r="I29" s="119">
        <v>57.89</v>
      </c>
      <c r="J29" s="119">
        <v>99.72</v>
      </c>
      <c r="K29" s="119">
        <v>63.88</v>
      </c>
      <c r="L29" s="119"/>
      <c r="M29" s="119"/>
      <c r="N29" s="119"/>
      <c r="O29" s="119"/>
      <c r="P29" s="252"/>
    </row>
    <row r="30" spans="1:17" ht="12.75">
      <c r="A30" s="166" t="s">
        <v>89</v>
      </c>
      <c r="B30" s="165" t="s">
        <v>49</v>
      </c>
      <c r="C30" s="115">
        <v>1</v>
      </c>
      <c r="D30" s="131"/>
      <c r="E30" s="131"/>
      <c r="F30" s="131"/>
      <c r="G30" s="117">
        <v>35.17</v>
      </c>
      <c r="H30" s="119">
        <v>4</v>
      </c>
      <c r="I30" s="119">
        <v>95.51</v>
      </c>
      <c r="J30" s="118">
        <v>140.22999999999999</v>
      </c>
      <c r="K30" s="119">
        <v>24.029</v>
      </c>
      <c r="L30" s="119"/>
      <c r="M30" s="119"/>
      <c r="N30" s="119"/>
      <c r="O30" s="119"/>
      <c r="P30" s="252"/>
    </row>
    <row r="31" spans="1:17" ht="12.75">
      <c r="A31" s="166" t="s">
        <v>90</v>
      </c>
      <c r="B31" s="165" t="s">
        <v>49</v>
      </c>
      <c r="C31" s="115">
        <v>1</v>
      </c>
      <c r="D31" s="131"/>
      <c r="E31" s="131"/>
      <c r="F31" s="131"/>
      <c r="G31" s="117">
        <f>447.39+2359.3</f>
        <v>2806.69</v>
      </c>
      <c r="H31" s="119">
        <v>132.78</v>
      </c>
      <c r="I31" s="119">
        <v>461.87</v>
      </c>
      <c r="J31" s="119">
        <v>1342.1</v>
      </c>
      <c r="K31" s="119">
        <v>343.74</v>
      </c>
      <c r="L31" s="119"/>
      <c r="M31" s="119"/>
      <c r="N31" s="119"/>
      <c r="O31" s="119"/>
      <c r="P31" s="252"/>
    </row>
    <row r="32" spans="1:17" ht="12.75">
      <c r="A32" s="166" t="s">
        <v>91</v>
      </c>
      <c r="B32" s="165" t="s">
        <v>49</v>
      </c>
      <c r="C32" s="115">
        <v>1</v>
      </c>
      <c r="D32" s="131"/>
      <c r="E32" s="131"/>
      <c r="F32" s="131"/>
      <c r="G32" s="117"/>
      <c r="H32" s="119">
        <v>414.96</v>
      </c>
      <c r="I32" s="119">
        <v>528.54999999999995</v>
      </c>
      <c r="J32" s="119">
        <v>607.89</v>
      </c>
      <c r="K32" s="119">
        <v>586.21</v>
      </c>
      <c r="L32" s="119"/>
      <c r="M32" s="119"/>
      <c r="N32" s="119"/>
      <c r="O32" s="119"/>
      <c r="P32" s="252"/>
    </row>
    <row r="33" spans="1:18" ht="18.75">
      <c r="A33" s="197"/>
      <c r="B33" s="198"/>
      <c r="C33" s="199"/>
      <c r="D33" s="200"/>
      <c r="E33" s="201"/>
      <c r="F33" s="199"/>
      <c r="L33" s="247"/>
      <c r="N33" s="194"/>
      <c r="O33" s="194"/>
      <c r="P33" s="194"/>
    </row>
    <row r="34" spans="1:18" ht="28.5" customHeight="1">
      <c r="A34" s="379" t="s">
        <v>219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</row>
    <row r="35" spans="1:18" ht="16.5" customHeight="1">
      <c r="A35" s="203"/>
      <c r="B35" s="203"/>
      <c r="C35" s="203"/>
      <c r="D35" s="203"/>
      <c r="E35" s="203"/>
      <c r="F35" s="203"/>
      <c r="G35" s="203"/>
      <c r="H35" s="246"/>
      <c r="I35" s="246"/>
      <c r="J35" s="246"/>
      <c r="K35" s="246"/>
      <c r="L35" s="246"/>
      <c r="M35" s="246"/>
      <c r="N35" s="246"/>
      <c r="O35" s="246"/>
      <c r="P35" s="246"/>
    </row>
    <row r="36" spans="1:18" ht="16.5" customHeight="1">
      <c r="A36" s="203"/>
      <c r="B36" s="203"/>
      <c r="C36" s="203"/>
      <c r="D36" s="203"/>
      <c r="E36" s="203"/>
      <c r="F36" s="203"/>
      <c r="G36" s="203"/>
      <c r="H36" s="246"/>
      <c r="I36" s="246"/>
      <c r="J36" s="246"/>
      <c r="K36" s="246"/>
      <c r="L36" s="246"/>
      <c r="M36" s="246"/>
      <c r="N36" s="246"/>
      <c r="O36" s="246"/>
      <c r="P36" s="246"/>
    </row>
    <row r="37" spans="1:18" ht="16.5" customHeight="1">
      <c r="A37" s="203"/>
      <c r="B37" s="203"/>
      <c r="C37" s="203"/>
      <c r="D37" s="203"/>
      <c r="E37" s="203"/>
      <c r="F37" s="203"/>
      <c r="G37" s="203"/>
      <c r="H37" s="246"/>
      <c r="I37" s="246"/>
      <c r="J37" s="246"/>
      <c r="K37" s="246"/>
      <c r="L37" s="246"/>
      <c r="M37" s="246"/>
      <c r="N37" s="246"/>
      <c r="O37" s="246"/>
      <c r="P37" s="246"/>
    </row>
    <row r="38" spans="1:18" ht="56.25" customHeight="1">
      <c r="A38" s="203"/>
      <c r="B38" s="203"/>
      <c r="C38" s="203"/>
      <c r="D38" s="203"/>
      <c r="E38" s="203"/>
      <c r="F38" s="203"/>
      <c r="G38" s="203"/>
      <c r="H38" s="246"/>
      <c r="I38" s="246"/>
      <c r="J38" s="246"/>
      <c r="K38" s="246"/>
      <c r="L38" s="246"/>
      <c r="M38" s="246"/>
      <c r="N38" s="246"/>
      <c r="O38" s="246"/>
      <c r="P38" s="246"/>
    </row>
    <row r="39" spans="1:18" ht="56.25" customHeight="1">
      <c r="A39" s="203"/>
      <c r="B39" s="203"/>
      <c r="C39" s="203"/>
      <c r="D39" s="203"/>
      <c r="E39" s="203"/>
      <c r="F39" s="203"/>
      <c r="G39" s="203"/>
      <c r="H39" s="246"/>
      <c r="I39" s="246"/>
      <c r="J39" s="246"/>
      <c r="K39" s="246"/>
      <c r="L39" s="246"/>
      <c r="M39" s="246"/>
      <c r="N39" s="246"/>
      <c r="O39" s="246"/>
      <c r="P39" s="246"/>
    </row>
    <row r="40" spans="1:18" ht="56.25" customHeight="1">
      <c r="A40" s="203"/>
      <c r="B40" s="203"/>
      <c r="C40" s="203"/>
      <c r="D40" s="203"/>
      <c r="E40" s="203"/>
      <c r="F40" s="203"/>
      <c r="G40" s="203"/>
      <c r="H40" s="246"/>
      <c r="I40" s="246"/>
      <c r="J40" s="246"/>
      <c r="K40" s="246"/>
      <c r="L40" s="246"/>
      <c r="M40" s="246"/>
      <c r="N40" s="246"/>
      <c r="O40" s="246"/>
      <c r="P40" s="246"/>
    </row>
    <row r="41" spans="1:18" ht="56.25" customHeight="1">
      <c r="A41" s="203"/>
      <c r="B41" s="203"/>
      <c r="C41" s="203"/>
      <c r="D41" s="203"/>
      <c r="E41" s="203"/>
      <c r="F41" s="203"/>
      <c r="G41" s="203"/>
      <c r="H41" s="246"/>
      <c r="I41" s="246"/>
      <c r="J41" s="246"/>
      <c r="K41" s="246"/>
      <c r="L41" s="246"/>
      <c r="M41" s="246"/>
      <c r="N41" s="246"/>
      <c r="O41" s="246"/>
      <c r="P41" s="246"/>
    </row>
    <row r="42" spans="1:18" ht="56.25" customHeight="1">
      <c r="A42" s="203"/>
      <c r="B42" s="203"/>
      <c r="C42" s="203"/>
      <c r="D42" s="203"/>
      <c r="E42" s="203"/>
      <c r="F42" s="203"/>
      <c r="G42" s="203"/>
      <c r="H42" s="246"/>
      <c r="I42" s="246"/>
      <c r="J42" s="246"/>
      <c r="K42" s="246"/>
      <c r="L42" s="246"/>
      <c r="M42" s="246"/>
      <c r="N42" s="246"/>
      <c r="O42" s="246"/>
      <c r="P42" s="246"/>
    </row>
    <row r="43" spans="1:18" ht="18.75">
      <c r="A43" s="204"/>
      <c r="B43" s="198"/>
      <c r="C43" s="199"/>
      <c r="D43" s="200"/>
      <c r="E43" s="201"/>
      <c r="F43" s="199"/>
      <c r="G43" s="202"/>
      <c r="H43" s="194"/>
      <c r="I43" s="194"/>
      <c r="J43" s="194"/>
      <c r="K43" s="194"/>
      <c r="L43" s="194"/>
      <c r="M43" s="194"/>
      <c r="N43" s="194"/>
      <c r="O43" s="194"/>
      <c r="P43" s="194"/>
    </row>
    <row r="44" spans="1:18" ht="18.75">
      <c r="A44" s="204"/>
      <c r="B44" s="198"/>
      <c r="C44" s="199"/>
      <c r="D44" s="200"/>
      <c r="E44" s="201"/>
      <c r="F44" s="199"/>
      <c r="G44" s="202"/>
      <c r="H44" s="194"/>
      <c r="I44" s="194"/>
      <c r="J44" s="194"/>
      <c r="K44" s="194"/>
      <c r="L44" s="194"/>
      <c r="M44" s="194"/>
      <c r="N44" s="194"/>
      <c r="O44" s="194"/>
      <c r="P44" s="194"/>
    </row>
    <row r="45" spans="1:18" ht="18.75">
      <c r="A45" s="204"/>
      <c r="B45" s="198"/>
      <c r="C45" s="199"/>
      <c r="D45" s="200"/>
      <c r="E45" s="201"/>
      <c r="F45" s="199"/>
      <c r="G45" s="202"/>
      <c r="H45" s="194"/>
      <c r="I45" s="194"/>
      <c r="J45" s="194"/>
      <c r="K45" s="194"/>
      <c r="L45" s="194"/>
      <c r="M45" s="194"/>
      <c r="N45" s="194"/>
      <c r="O45" s="194"/>
      <c r="P45" s="194"/>
    </row>
    <row r="46" spans="1:18" ht="18.75">
      <c r="A46" s="204"/>
      <c r="B46" s="198"/>
      <c r="C46" s="199"/>
      <c r="D46" s="200"/>
      <c r="E46" s="201"/>
      <c r="F46" s="199"/>
      <c r="G46" s="202"/>
      <c r="H46" s="194"/>
      <c r="I46" s="194"/>
      <c r="J46" s="194"/>
      <c r="K46" s="194"/>
      <c r="L46" s="194"/>
      <c r="M46" s="194"/>
      <c r="N46" s="194"/>
      <c r="O46" s="194"/>
      <c r="P46" s="194"/>
    </row>
    <row r="47" spans="1:18" ht="18.75">
      <c r="A47" s="204"/>
      <c r="B47" s="198"/>
      <c r="C47" s="199"/>
      <c r="D47" s="200"/>
      <c r="E47" s="201"/>
      <c r="F47" s="199"/>
      <c r="G47" s="202"/>
      <c r="H47" s="194"/>
      <c r="I47" s="194"/>
      <c r="J47" s="194"/>
      <c r="K47" s="194"/>
      <c r="L47" s="194"/>
      <c r="M47" s="194"/>
      <c r="N47" s="194"/>
      <c r="O47" s="194"/>
      <c r="P47" s="194"/>
    </row>
    <row r="48" spans="1:18">
      <c r="A48" s="198"/>
      <c r="B48" s="198"/>
      <c r="C48" s="199"/>
      <c r="D48" s="200"/>
      <c r="E48" s="201"/>
      <c r="F48" s="199"/>
      <c r="G48" s="202"/>
      <c r="H48" s="194"/>
      <c r="I48" s="194"/>
      <c r="J48" s="194"/>
      <c r="K48" s="194"/>
      <c r="L48" s="194"/>
      <c r="M48" s="194"/>
      <c r="N48" s="194"/>
      <c r="O48" s="194"/>
      <c r="P48" s="194"/>
    </row>
    <row r="49" spans="1:16">
      <c r="A49" s="198"/>
      <c r="B49" s="198"/>
      <c r="C49" s="199"/>
      <c r="D49" s="200"/>
      <c r="E49" s="201"/>
      <c r="F49" s="199"/>
      <c r="G49" s="202"/>
      <c r="H49" s="194"/>
      <c r="I49" s="194"/>
      <c r="J49" s="194"/>
      <c r="K49" s="194"/>
      <c r="L49" s="194"/>
      <c r="M49" s="194"/>
      <c r="N49" s="194"/>
      <c r="O49" s="194"/>
      <c r="P49" s="194"/>
    </row>
    <row r="50" spans="1:16">
      <c r="A50" s="198"/>
      <c r="B50" s="198"/>
      <c r="C50" s="199"/>
      <c r="D50" s="200"/>
      <c r="E50" s="201"/>
      <c r="F50" s="199"/>
      <c r="G50" s="202"/>
      <c r="H50" s="194"/>
      <c r="I50" s="194"/>
      <c r="J50" s="194"/>
      <c r="K50" s="194"/>
      <c r="L50" s="194"/>
      <c r="M50" s="194"/>
      <c r="N50" s="194"/>
      <c r="O50" s="194"/>
      <c r="P50" s="194"/>
    </row>
    <row r="51" spans="1:16" ht="12.75">
      <c r="A51" s="198"/>
      <c r="B51" s="198"/>
      <c r="C51" s="199"/>
      <c r="D51" s="200"/>
      <c r="E51" s="201"/>
      <c r="F51" s="199"/>
      <c r="G51" s="205">
        <v>77.86</v>
      </c>
      <c r="H51" s="245">
        <v>80.400000000000006</v>
      </c>
      <c r="I51" s="244"/>
      <c r="J51" s="244"/>
      <c r="K51" s="244">
        <f>80.4+1.35</f>
        <v>81.75</v>
      </c>
      <c r="L51" s="244"/>
      <c r="M51" s="244"/>
      <c r="N51" s="243">
        <f>K51+1.45</f>
        <v>83.2</v>
      </c>
      <c r="O51" s="243"/>
      <c r="P51" s="244"/>
    </row>
    <row r="52" spans="1:16">
      <c r="A52" s="198"/>
      <c r="B52" s="198"/>
      <c r="C52" s="199"/>
      <c r="D52" s="200"/>
      <c r="E52" s="201"/>
      <c r="F52" s="199"/>
      <c r="G52" s="202"/>
      <c r="H52" s="194"/>
      <c r="I52" s="194"/>
      <c r="J52" s="194"/>
      <c r="K52" s="194"/>
      <c r="L52" s="194"/>
      <c r="M52" s="194"/>
      <c r="N52" s="194"/>
      <c r="O52" s="194"/>
      <c r="P52" s="194"/>
    </row>
    <row r="53" spans="1:16">
      <c r="A53" s="198"/>
      <c r="B53" s="198"/>
      <c r="C53" s="199"/>
      <c r="D53" s="200"/>
      <c r="E53" s="201"/>
      <c r="F53" s="199"/>
      <c r="G53" s="202"/>
      <c r="H53" s="194"/>
      <c r="I53" s="194"/>
      <c r="J53" s="194"/>
      <c r="K53" s="194"/>
      <c r="L53" s="194"/>
      <c r="M53" s="194"/>
      <c r="N53" s="194"/>
      <c r="O53" s="194"/>
      <c r="P53" s="194"/>
    </row>
    <row r="54" spans="1:16">
      <c r="A54" s="198"/>
      <c r="B54" s="198"/>
      <c r="C54" s="199"/>
      <c r="D54" s="200"/>
      <c r="E54" s="201"/>
      <c r="F54" s="199"/>
      <c r="G54" s="202"/>
      <c r="H54" s="194"/>
      <c r="I54" s="194"/>
      <c r="J54" s="194"/>
      <c r="K54" s="194"/>
      <c r="L54" s="194"/>
      <c r="M54" s="194"/>
      <c r="N54" s="194"/>
      <c r="O54" s="194"/>
      <c r="P54" s="194"/>
    </row>
    <row r="55" spans="1:16">
      <c r="A55" s="198"/>
      <c r="B55" s="198"/>
      <c r="C55" s="199"/>
      <c r="D55" s="200"/>
      <c r="E55" s="201"/>
      <c r="F55" s="199"/>
      <c r="G55" s="202"/>
      <c r="H55" s="194"/>
      <c r="I55" s="194"/>
      <c r="J55" s="194"/>
      <c r="K55" s="194"/>
      <c r="L55" s="194"/>
      <c r="M55" s="194"/>
      <c r="N55" s="194"/>
      <c r="O55" s="194"/>
      <c r="P55" s="194"/>
    </row>
    <row r="56" spans="1:16">
      <c r="A56" s="198"/>
      <c r="B56" s="198"/>
      <c r="C56" s="199"/>
      <c r="D56" s="200"/>
      <c r="E56" s="201"/>
      <c r="F56" s="199"/>
      <c r="G56" s="202"/>
      <c r="H56" s="194"/>
      <c r="I56" s="194"/>
      <c r="J56" s="194"/>
      <c r="K56" s="194"/>
      <c r="L56" s="194"/>
      <c r="M56" s="194"/>
      <c r="N56" s="194"/>
      <c r="O56" s="194"/>
      <c r="P56" s="194"/>
    </row>
    <row r="57" spans="1:16">
      <c r="A57" s="198"/>
      <c r="B57" s="198"/>
      <c r="C57" s="199"/>
      <c r="D57" s="200"/>
      <c r="E57" s="201"/>
      <c r="F57" s="199"/>
      <c r="G57" s="202"/>
      <c r="H57" s="194"/>
      <c r="I57" s="194"/>
      <c r="J57" s="194"/>
      <c r="K57" s="194"/>
      <c r="L57" s="194"/>
      <c r="M57" s="194"/>
      <c r="N57" s="194"/>
      <c r="O57" s="194"/>
      <c r="P57" s="194"/>
    </row>
    <row r="58" spans="1:16">
      <c r="A58" s="198"/>
      <c r="B58" s="198"/>
      <c r="C58" s="199"/>
      <c r="D58" s="200"/>
      <c r="E58" s="201"/>
      <c r="F58" s="199"/>
      <c r="G58" s="202"/>
      <c r="H58" s="194"/>
      <c r="I58" s="194"/>
      <c r="J58" s="194"/>
      <c r="K58" s="194"/>
      <c r="L58" s="194"/>
      <c r="M58" s="194"/>
      <c r="N58" s="194"/>
      <c r="O58" s="194"/>
      <c r="P58" s="194"/>
    </row>
    <row r="59" spans="1:16">
      <c r="A59" s="198"/>
      <c r="B59" s="198"/>
      <c r="C59" s="199"/>
      <c r="D59" s="200"/>
      <c r="E59" s="201"/>
      <c r="F59" s="199"/>
      <c r="G59" s="202"/>
      <c r="H59" s="194"/>
      <c r="I59" s="194"/>
      <c r="J59" s="194"/>
      <c r="K59" s="194"/>
      <c r="L59" s="194"/>
      <c r="M59" s="194"/>
      <c r="N59" s="194"/>
      <c r="O59" s="194"/>
      <c r="P59" s="194"/>
    </row>
    <row r="60" spans="1:16">
      <c r="A60" s="198"/>
      <c r="B60" s="198"/>
      <c r="C60" s="199"/>
      <c r="D60" s="200"/>
      <c r="E60" s="201"/>
      <c r="F60" s="199"/>
      <c r="G60" s="202"/>
      <c r="H60" s="194"/>
      <c r="I60" s="194"/>
      <c r="J60" s="194"/>
      <c r="K60" s="194"/>
      <c r="L60" s="194"/>
      <c r="M60" s="194"/>
      <c r="N60" s="194"/>
      <c r="O60" s="194"/>
      <c r="P60" s="194"/>
    </row>
    <row r="61" spans="1:16">
      <c r="A61" s="198"/>
      <c r="B61" s="198"/>
      <c r="C61" s="199"/>
      <c r="D61" s="200"/>
      <c r="E61" s="201"/>
      <c r="F61" s="199"/>
      <c r="G61" s="202"/>
      <c r="H61" s="194"/>
      <c r="I61" s="194"/>
      <c r="J61" s="194"/>
      <c r="K61" s="194"/>
      <c r="L61" s="194"/>
      <c r="M61" s="194"/>
      <c r="N61" s="194"/>
      <c r="O61" s="194"/>
      <c r="P61" s="194"/>
    </row>
    <row r="62" spans="1:16">
      <c r="A62" s="198"/>
      <c r="B62" s="198"/>
      <c r="C62" s="199"/>
      <c r="D62" s="200"/>
      <c r="E62" s="201"/>
      <c r="F62" s="199"/>
      <c r="G62" s="202"/>
      <c r="H62" s="194"/>
      <c r="I62" s="194"/>
      <c r="J62" s="194"/>
      <c r="K62" s="194"/>
      <c r="L62" s="194"/>
      <c r="M62" s="194"/>
      <c r="N62" s="194"/>
      <c r="O62" s="194"/>
      <c r="P62" s="194"/>
    </row>
    <row r="63" spans="1:16">
      <c r="A63" s="198"/>
      <c r="B63" s="198"/>
      <c r="C63" s="199"/>
      <c r="D63" s="200"/>
      <c r="E63" s="201"/>
      <c r="F63" s="199"/>
      <c r="G63" s="202"/>
      <c r="H63" s="194"/>
      <c r="I63" s="194"/>
      <c r="J63" s="194"/>
      <c r="K63" s="194"/>
      <c r="L63" s="194"/>
      <c r="M63" s="194"/>
      <c r="N63" s="194"/>
      <c r="O63" s="194"/>
      <c r="P63" s="194"/>
    </row>
    <row r="64" spans="1:16">
      <c r="A64" s="198"/>
      <c r="B64" s="198"/>
      <c r="C64" s="199"/>
      <c r="D64" s="200"/>
      <c r="E64" s="201"/>
      <c r="F64" s="199"/>
      <c r="G64" s="202"/>
      <c r="H64" s="194"/>
      <c r="I64" s="194"/>
      <c r="J64" s="194"/>
      <c r="K64" s="194"/>
      <c r="L64" s="194"/>
      <c r="M64" s="194"/>
      <c r="N64" s="194"/>
      <c r="O64" s="194"/>
      <c r="P64" s="194"/>
    </row>
    <row r="65" spans="1:16">
      <c r="A65" s="198"/>
      <c r="B65" s="198"/>
      <c r="C65" s="199"/>
      <c r="D65" s="200"/>
      <c r="E65" s="201"/>
      <c r="F65" s="199"/>
      <c r="G65" s="202"/>
      <c r="H65" s="194"/>
      <c r="I65" s="194"/>
      <c r="J65" s="194"/>
      <c r="K65" s="194"/>
      <c r="L65" s="194"/>
      <c r="M65" s="194"/>
      <c r="N65" s="194"/>
      <c r="O65" s="194"/>
      <c r="P65" s="194"/>
    </row>
    <row r="66" spans="1:16">
      <c r="A66" s="198"/>
      <c r="B66" s="198"/>
      <c r="C66" s="199"/>
      <c r="D66" s="200"/>
      <c r="E66" s="201"/>
      <c r="F66" s="199"/>
      <c r="G66" s="202"/>
      <c r="H66" s="194"/>
      <c r="I66" s="194"/>
      <c r="J66" s="194"/>
      <c r="K66" s="194"/>
      <c r="L66" s="194"/>
      <c r="M66" s="194"/>
      <c r="N66" s="194"/>
      <c r="O66" s="194"/>
      <c r="P66" s="194"/>
    </row>
    <row r="67" spans="1:16">
      <c r="A67" s="198"/>
      <c r="B67" s="198"/>
      <c r="C67" s="199"/>
      <c r="D67" s="200"/>
      <c r="E67" s="201"/>
      <c r="F67" s="199"/>
      <c r="G67" s="202"/>
      <c r="H67" s="194"/>
      <c r="I67" s="194"/>
      <c r="J67" s="194"/>
      <c r="K67" s="194"/>
      <c r="L67" s="194"/>
      <c r="M67" s="194"/>
      <c r="N67" s="194"/>
      <c r="O67" s="194"/>
      <c r="P67" s="194"/>
    </row>
    <row r="68" spans="1:16">
      <c r="A68" s="198"/>
      <c r="B68" s="198"/>
      <c r="C68" s="199"/>
      <c r="D68" s="200"/>
      <c r="E68" s="201"/>
      <c r="F68" s="199"/>
      <c r="G68" s="202"/>
      <c r="H68" s="194"/>
      <c r="I68" s="194"/>
      <c r="J68" s="194"/>
      <c r="K68" s="194"/>
      <c r="L68" s="194"/>
      <c r="M68" s="194"/>
      <c r="N68" s="194"/>
      <c r="O68" s="194"/>
      <c r="P68" s="194"/>
    </row>
    <row r="69" spans="1:16">
      <c r="A69" s="198"/>
      <c r="B69" s="198"/>
      <c r="C69" s="199"/>
      <c r="D69" s="200"/>
      <c r="E69" s="201"/>
      <c r="F69" s="199"/>
      <c r="G69" s="202"/>
      <c r="H69" s="194"/>
      <c r="I69" s="194"/>
      <c r="J69" s="194"/>
      <c r="K69" s="194"/>
      <c r="L69" s="194"/>
      <c r="M69" s="194"/>
      <c r="N69" s="194"/>
      <c r="O69" s="194"/>
      <c r="P69" s="194"/>
    </row>
    <row r="70" spans="1:16">
      <c r="A70" s="198"/>
      <c r="B70" s="198"/>
      <c r="C70" s="199"/>
      <c r="D70" s="200"/>
      <c r="E70" s="201"/>
      <c r="F70" s="199"/>
      <c r="G70" s="202"/>
      <c r="H70" s="194"/>
      <c r="I70" s="194"/>
      <c r="J70" s="194"/>
      <c r="K70" s="194"/>
      <c r="L70" s="194"/>
      <c r="M70" s="194"/>
      <c r="N70" s="194"/>
      <c r="O70" s="194"/>
      <c r="P70" s="194"/>
    </row>
    <row r="71" spans="1:16">
      <c r="A71" s="198"/>
      <c r="B71" s="198"/>
      <c r="C71" s="199"/>
      <c r="D71" s="200"/>
      <c r="E71" s="201"/>
      <c r="F71" s="199"/>
      <c r="G71" s="202"/>
      <c r="H71" s="194"/>
      <c r="I71" s="194"/>
      <c r="J71" s="194"/>
      <c r="K71" s="194"/>
      <c r="L71" s="194"/>
      <c r="M71" s="194"/>
      <c r="N71" s="194"/>
      <c r="O71" s="194"/>
      <c r="P71" s="194"/>
    </row>
    <row r="72" spans="1:16">
      <c r="A72" s="198"/>
      <c r="B72" s="198"/>
      <c r="C72" s="199"/>
      <c r="D72" s="200"/>
      <c r="E72" s="201"/>
      <c r="F72" s="199"/>
      <c r="G72" s="202"/>
      <c r="H72" s="194"/>
      <c r="I72" s="194"/>
      <c r="J72" s="194"/>
      <c r="K72" s="194"/>
      <c r="L72" s="194"/>
      <c r="M72" s="194"/>
      <c r="N72" s="194"/>
      <c r="O72" s="194"/>
      <c r="P72" s="194"/>
    </row>
    <row r="73" spans="1:16">
      <c r="A73" s="198"/>
      <c r="B73" s="198"/>
      <c r="C73" s="199"/>
      <c r="D73" s="200"/>
      <c r="E73" s="201"/>
      <c r="F73" s="199"/>
      <c r="G73" s="202"/>
      <c r="H73" s="194"/>
      <c r="I73" s="194"/>
      <c r="J73" s="194"/>
      <c r="K73" s="194"/>
      <c r="L73" s="194"/>
      <c r="M73" s="194"/>
      <c r="N73" s="194"/>
      <c r="O73" s="194"/>
      <c r="P73" s="194"/>
    </row>
    <row r="74" spans="1:16">
      <c r="A74" s="198"/>
      <c r="B74" s="198"/>
      <c r="C74" s="199"/>
      <c r="D74" s="200"/>
      <c r="E74" s="201"/>
      <c r="F74" s="199"/>
      <c r="G74" s="202"/>
      <c r="H74" s="194"/>
      <c r="I74" s="194"/>
      <c r="J74" s="194"/>
      <c r="K74" s="194"/>
      <c r="L74" s="194"/>
      <c r="M74" s="194"/>
      <c r="N74" s="194"/>
      <c r="O74" s="194"/>
      <c r="P74" s="194"/>
    </row>
    <row r="75" spans="1:16">
      <c r="A75" s="198"/>
      <c r="B75" s="198"/>
      <c r="C75" s="199"/>
      <c r="D75" s="200"/>
      <c r="E75" s="201"/>
      <c r="F75" s="199"/>
      <c r="G75" s="202"/>
      <c r="H75" s="194"/>
      <c r="I75" s="194"/>
      <c r="J75" s="194"/>
      <c r="K75" s="194"/>
      <c r="L75" s="194"/>
      <c r="M75" s="194"/>
      <c r="N75" s="194"/>
      <c r="O75" s="194"/>
      <c r="P75" s="194"/>
    </row>
    <row r="76" spans="1:16">
      <c r="A76" s="198"/>
      <c r="B76" s="198"/>
      <c r="C76" s="199"/>
      <c r="D76" s="200"/>
      <c r="E76" s="201"/>
      <c r="F76" s="199"/>
      <c r="G76" s="202"/>
      <c r="H76" s="194"/>
      <c r="I76" s="194"/>
      <c r="J76" s="194"/>
      <c r="K76" s="194"/>
      <c r="L76" s="194"/>
      <c r="M76" s="194"/>
      <c r="N76" s="194"/>
      <c r="O76" s="194"/>
      <c r="P76" s="194"/>
    </row>
    <row r="77" spans="1:16">
      <c r="A77" s="198"/>
      <c r="B77" s="198"/>
      <c r="C77" s="199"/>
      <c r="D77" s="200"/>
      <c r="E77" s="201"/>
      <c r="F77" s="199"/>
      <c r="G77" s="202"/>
      <c r="H77" s="194"/>
      <c r="I77" s="194"/>
      <c r="J77" s="194"/>
      <c r="K77" s="194"/>
      <c r="L77" s="194"/>
      <c r="M77" s="194"/>
      <c r="N77" s="194"/>
      <c r="O77" s="194"/>
      <c r="P77" s="194"/>
    </row>
    <row r="78" spans="1:16">
      <c r="A78" s="198"/>
      <c r="B78" s="198"/>
      <c r="C78" s="199"/>
      <c r="D78" s="200"/>
      <c r="E78" s="201"/>
      <c r="F78" s="199"/>
      <c r="G78" s="202"/>
      <c r="H78" s="194"/>
      <c r="I78" s="194"/>
      <c r="J78" s="194"/>
      <c r="K78" s="194"/>
      <c r="L78" s="194"/>
      <c r="M78" s="194"/>
      <c r="N78" s="194"/>
      <c r="O78" s="194"/>
      <c r="P78" s="194"/>
    </row>
    <row r="79" spans="1:16">
      <c r="A79" s="198"/>
      <c r="B79" s="198"/>
      <c r="C79" s="199"/>
      <c r="D79" s="200"/>
      <c r="E79" s="201"/>
      <c r="F79" s="199"/>
      <c r="G79" s="202"/>
      <c r="H79" s="194"/>
      <c r="I79" s="194"/>
      <c r="J79" s="194"/>
      <c r="K79" s="194"/>
      <c r="L79" s="194"/>
      <c r="M79" s="194"/>
      <c r="N79" s="194"/>
      <c r="O79" s="194"/>
      <c r="P79" s="194"/>
    </row>
    <row r="80" spans="1:16">
      <c r="A80" s="198"/>
      <c r="B80" s="198"/>
      <c r="C80" s="199"/>
      <c r="D80" s="200"/>
      <c r="E80" s="201"/>
      <c r="F80" s="199"/>
      <c r="G80" s="202"/>
      <c r="H80" s="194"/>
      <c r="I80" s="194"/>
      <c r="J80" s="194"/>
      <c r="K80" s="194"/>
      <c r="L80" s="194"/>
      <c r="M80" s="194"/>
      <c r="N80" s="194"/>
      <c r="O80" s="194"/>
      <c r="P80" s="194"/>
    </row>
    <row r="81" spans="1:16">
      <c r="A81" s="198"/>
      <c r="B81" s="198"/>
      <c r="C81" s="199"/>
      <c r="D81" s="200"/>
      <c r="E81" s="201"/>
      <c r="F81" s="199"/>
      <c r="G81" s="202"/>
      <c r="H81" s="194"/>
      <c r="I81" s="194"/>
      <c r="J81" s="194"/>
      <c r="K81" s="194"/>
      <c r="L81" s="194"/>
      <c r="M81" s="194"/>
      <c r="N81" s="194"/>
      <c r="O81" s="194"/>
      <c r="P81" s="194"/>
    </row>
    <row r="82" spans="1:16">
      <c r="A82" s="198"/>
      <c r="B82" s="198"/>
      <c r="C82" s="199"/>
      <c r="D82" s="200"/>
      <c r="E82" s="201"/>
      <c r="F82" s="199"/>
      <c r="G82" s="202"/>
      <c r="H82" s="194"/>
      <c r="I82" s="194"/>
      <c r="J82" s="194"/>
      <c r="K82" s="194"/>
      <c r="L82" s="194"/>
      <c r="M82" s="194"/>
      <c r="N82" s="194"/>
      <c r="O82" s="194"/>
      <c r="P82" s="194"/>
    </row>
    <row r="83" spans="1:16">
      <c r="A83" s="198"/>
      <c r="B83" s="198"/>
      <c r="C83" s="199"/>
      <c r="D83" s="200"/>
      <c r="E83" s="201"/>
      <c r="F83" s="199"/>
      <c r="G83" s="202"/>
      <c r="H83" s="194"/>
      <c r="I83" s="194"/>
      <c r="J83" s="194"/>
      <c r="K83" s="194"/>
      <c r="L83" s="194"/>
      <c r="M83" s="194"/>
      <c r="N83" s="194"/>
      <c r="O83" s="194"/>
      <c r="P83" s="194"/>
    </row>
    <row r="84" spans="1:16">
      <c r="A84" s="198"/>
      <c r="B84" s="198"/>
      <c r="C84" s="199"/>
      <c r="D84" s="200"/>
      <c r="E84" s="201"/>
      <c r="F84" s="199"/>
      <c r="G84" s="202"/>
      <c r="H84" s="194"/>
      <c r="I84" s="194"/>
      <c r="J84" s="194"/>
      <c r="K84" s="194"/>
      <c r="L84" s="194"/>
      <c r="M84" s="194"/>
      <c r="N84" s="194"/>
      <c r="O84" s="194"/>
      <c r="P84" s="194"/>
    </row>
    <row r="85" spans="1:16">
      <c r="A85" s="198"/>
      <c r="B85" s="198"/>
      <c r="C85" s="199"/>
      <c r="D85" s="200"/>
      <c r="E85" s="201"/>
      <c r="F85" s="199"/>
      <c r="G85" s="202"/>
      <c r="H85" s="194"/>
      <c r="I85" s="194"/>
      <c r="J85" s="194"/>
      <c r="K85" s="194"/>
      <c r="L85" s="194"/>
      <c r="M85" s="194"/>
      <c r="N85" s="194"/>
      <c r="O85" s="194"/>
      <c r="P85" s="194"/>
    </row>
    <row r="86" spans="1:16">
      <c r="A86" s="198"/>
      <c r="B86" s="198"/>
      <c r="C86" s="199"/>
      <c r="D86" s="200"/>
      <c r="E86" s="201"/>
      <c r="F86" s="199"/>
      <c r="G86" s="202"/>
      <c r="H86" s="194"/>
      <c r="I86" s="194"/>
      <c r="J86" s="194"/>
      <c r="K86" s="194"/>
      <c r="L86" s="194"/>
      <c r="M86" s="194"/>
      <c r="N86" s="194"/>
      <c r="O86" s="194"/>
      <c r="P86" s="194"/>
    </row>
    <row r="87" spans="1:16">
      <c r="A87" s="198"/>
      <c r="B87" s="198"/>
      <c r="C87" s="199"/>
      <c r="D87" s="200"/>
      <c r="E87" s="201"/>
      <c r="F87" s="199"/>
      <c r="G87" s="202"/>
      <c r="H87" s="194"/>
      <c r="I87" s="194"/>
      <c r="J87" s="194"/>
      <c r="K87" s="194"/>
      <c r="L87" s="194"/>
      <c r="M87" s="194"/>
      <c r="N87" s="194"/>
      <c r="O87" s="194"/>
      <c r="P87" s="194"/>
    </row>
  </sheetData>
  <mergeCells count="15">
    <mergeCell ref="A34:R34"/>
    <mergeCell ref="A1:O1"/>
    <mergeCell ref="A2:A4"/>
    <mergeCell ref="B2:B4"/>
    <mergeCell ref="H2:K2"/>
    <mergeCell ref="M2:O2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70"/>
  <sheetViews>
    <sheetView view="pageBreakPreview" zoomScale="85" zoomScaleNormal="85" zoomScaleSheetLayoutView="85" workbookViewId="0">
      <pane ySplit="6" topLeftCell="A7" activePane="bottomLeft" state="frozen"/>
      <selection pane="bottomLeft" activeCell="O18" sqref="O18"/>
    </sheetView>
  </sheetViews>
  <sheetFormatPr defaultColWidth="8.85546875" defaultRowHeight="12"/>
  <cols>
    <col min="1" max="1" width="45.140625" style="98" customWidth="1"/>
    <col min="2" max="2" width="12.5703125" style="98" customWidth="1"/>
    <col min="3" max="3" width="9.42578125" style="209" hidden="1" customWidth="1"/>
    <col min="4" max="4" width="5.140625" style="210" hidden="1" customWidth="1"/>
    <col min="5" max="5" width="6.28515625" style="211" hidden="1" customWidth="1"/>
    <col min="6" max="6" width="8.42578125" style="209" hidden="1" customWidth="1"/>
    <col min="7" max="7" width="10.85546875" style="98" hidden="1" customWidth="1"/>
    <col min="8" max="10" width="8.7109375" style="125" customWidth="1"/>
    <col min="11" max="11" width="9.140625" style="125" customWidth="1"/>
    <col min="12" max="13" width="8.85546875" style="125" customWidth="1"/>
    <col min="14" max="14" width="9.7109375" style="125" customWidth="1"/>
    <col min="15" max="15" width="8" style="98" customWidth="1"/>
    <col min="16" max="16" width="7.85546875" style="98" customWidth="1"/>
    <col min="17" max="17" width="8" style="98" customWidth="1"/>
    <col min="18" max="18" width="7.140625" style="98" customWidth="1"/>
    <col min="19" max="257" width="8.85546875" style="98"/>
    <col min="258" max="258" width="50.28515625" style="98" customWidth="1"/>
    <col min="259" max="259" width="12.5703125" style="98" customWidth="1"/>
    <col min="260" max="264" width="0" style="98" hidden="1" customWidth="1"/>
    <col min="265" max="266" width="9.7109375" style="98" customWidth="1"/>
    <col min="267" max="268" width="10.7109375" style="98" customWidth="1"/>
    <col min="269" max="270" width="10.42578125" style="98" customWidth="1"/>
    <col min="271" max="271" width="7.140625" style="98" customWidth="1"/>
    <col min="272" max="272" width="12.28515625" style="98" customWidth="1"/>
    <col min="273" max="274" width="7.140625" style="98" customWidth="1"/>
    <col min="275" max="513" width="8.85546875" style="98"/>
    <col min="514" max="514" width="50.28515625" style="98" customWidth="1"/>
    <col min="515" max="515" width="12.5703125" style="98" customWidth="1"/>
    <col min="516" max="520" width="0" style="98" hidden="1" customWidth="1"/>
    <col min="521" max="522" width="9.7109375" style="98" customWidth="1"/>
    <col min="523" max="524" width="10.7109375" style="98" customWidth="1"/>
    <col min="525" max="526" width="10.42578125" style="98" customWidth="1"/>
    <col min="527" max="527" width="7.140625" style="98" customWidth="1"/>
    <col min="528" max="528" width="12.28515625" style="98" customWidth="1"/>
    <col min="529" max="530" width="7.140625" style="98" customWidth="1"/>
    <col min="531" max="769" width="8.85546875" style="98"/>
    <col min="770" max="770" width="50.28515625" style="98" customWidth="1"/>
    <col min="771" max="771" width="12.5703125" style="98" customWidth="1"/>
    <col min="772" max="776" width="0" style="98" hidden="1" customWidth="1"/>
    <col min="777" max="778" width="9.7109375" style="98" customWidth="1"/>
    <col min="779" max="780" width="10.7109375" style="98" customWidth="1"/>
    <col min="781" max="782" width="10.42578125" style="98" customWidth="1"/>
    <col min="783" max="783" width="7.140625" style="98" customWidth="1"/>
    <col min="784" max="784" width="12.28515625" style="98" customWidth="1"/>
    <col min="785" max="786" width="7.140625" style="98" customWidth="1"/>
    <col min="787" max="1025" width="8.85546875" style="98"/>
    <col min="1026" max="1026" width="50.28515625" style="98" customWidth="1"/>
    <col min="1027" max="1027" width="12.5703125" style="98" customWidth="1"/>
    <col min="1028" max="1032" width="0" style="98" hidden="1" customWidth="1"/>
    <col min="1033" max="1034" width="9.7109375" style="98" customWidth="1"/>
    <col min="1035" max="1036" width="10.7109375" style="98" customWidth="1"/>
    <col min="1037" max="1038" width="10.42578125" style="98" customWidth="1"/>
    <col min="1039" max="1039" width="7.140625" style="98" customWidth="1"/>
    <col min="1040" max="1040" width="12.28515625" style="98" customWidth="1"/>
    <col min="1041" max="1042" width="7.140625" style="98" customWidth="1"/>
    <col min="1043" max="1281" width="8.85546875" style="98"/>
    <col min="1282" max="1282" width="50.28515625" style="98" customWidth="1"/>
    <col min="1283" max="1283" width="12.5703125" style="98" customWidth="1"/>
    <col min="1284" max="1288" width="0" style="98" hidden="1" customWidth="1"/>
    <col min="1289" max="1290" width="9.7109375" style="98" customWidth="1"/>
    <col min="1291" max="1292" width="10.7109375" style="98" customWidth="1"/>
    <col min="1293" max="1294" width="10.42578125" style="98" customWidth="1"/>
    <col min="1295" max="1295" width="7.140625" style="98" customWidth="1"/>
    <col min="1296" max="1296" width="12.28515625" style="98" customWidth="1"/>
    <col min="1297" max="1298" width="7.140625" style="98" customWidth="1"/>
    <col min="1299" max="1537" width="8.85546875" style="98"/>
    <col min="1538" max="1538" width="50.28515625" style="98" customWidth="1"/>
    <col min="1539" max="1539" width="12.5703125" style="98" customWidth="1"/>
    <col min="1540" max="1544" width="0" style="98" hidden="1" customWidth="1"/>
    <col min="1545" max="1546" width="9.7109375" style="98" customWidth="1"/>
    <col min="1547" max="1548" width="10.7109375" style="98" customWidth="1"/>
    <col min="1549" max="1550" width="10.42578125" style="98" customWidth="1"/>
    <col min="1551" max="1551" width="7.140625" style="98" customWidth="1"/>
    <col min="1552" max="1552" width="12.28515625" style="98" customWidth="1"/>
    <col min="1553" max="1554" width="7.140625" style="98" customWidth="1"/>
    <col min="1555" max="1793" width="8.85546875" style="98"/>
    <col min="1794" max="1794" width="50.28515625" style="98" customWidth="1"/>
    <col min="1795" max="1795" width="12.5703125" style="98" customWidth="1"/>
    <col min="1796" max="1800" width="0" style="98" hidden="1" customWidth="1"/>
    <col min="1801" max="1802" width="9.7109375" style="98" customWidth="1"/>
    <col min="1803" max="1804" width="10.7109375" style="98" customWidth="1"/>
    <col min="1805" max="1806" width="10.42578125" style="98" customWidth="1"/>
    <col min="1807" max="1807" width="7.140625" style="98" customWidth="1"/>
    <col min="1808" max="1808" width="12.28515625" style="98" customWidth="1"/>
    <col min="1809" max="1810" width="7.140625" style="98" customWidth="1"/>
    <col min="1811" max="2049" width="8.85546875" style="98"/>
    <col min="2050" max="2050" width="50.28515625" style="98" customWidth="1"/>
    <col min="2051" max="2051" width="12.5703125" style="98" customWidth="1"/>
    <col min="2052" max="2056" width="0" style="98" hidden="1" customWidth="1"/>
    <col min="2057" max="2058" width="9.7109375" style="98" customWidth="1"/>
    <col min="2059" max="2060" width="10.7109375" style="98" customWidth="1"/>
    <col min="2061" max="2062" width="10.42578125" style="98" customWidth="1"/>
    <col min="2063" max="2063" width="7.140625" style="98" customWidth="1"/>
    <col min="2064" max="2064" width="12.28515625" style="98" customWidth="1"/>
    <col min="2065" max="2066" width="7.140625" style="98" customWidth="1"/>
    <col min="2067" max="2305" width="8.85546875" style="98"/>
    <col min="2306" max="2306" width="50.28515625" style="98" customWidth="1"/>
    <col min="2307" max="2307" width="12.5703125" style="98" customWidth="1"/>
    <col min="2308" max="2312" width="0" style="98" hidden="1" customWidth="1"/>
    <col min="2313" max="2314" width="9.7109375" style="98" customWidth="1"/>
    <col min="2315" max="2316" width="10.7109375" style="98" customWidth="1"/>
    <col min="2317" max="2318" width="10.42578125" style="98" customWidth="1"/>
    <col min="2319" max="2319" width="7.140625" style="98" customWidth="1"/>
    <col min="2320" max="2320" width="12.28515625" style="98" customWidth="1"/>
    <col min="2321" max="2322" width="7.140625" style="98" customWidth="1"/>
    <col min="2323" max="2561" width="8.85546875" style="98"/>
    <col min="2562" max="2562" width="50.28515625" style="98" customWidth="1"/>
    <col min="2563" max="2563" width="12.5703125" style="98" customWidth="1"/>
    <col min="2564" max="2568" width="0" style="98" hidden="1" customWidth="1"/>
    <col min="2569" max="2570" width="9.7109375" style="98" customWidth="1"/>
    <col min="2571" max="2572" width="10.7109375" style="98" customWidth="1"/>
    <col min="2573" max="2574" width="10.42578125" style="98" customWidth="1"/>
    <col min="2575" max="2575" width="7.140625" style="98" customWidth="1"/>
    <col min="2576" max="2576" width="12.28515625" style="98" customWidth="1"/>
    <col min="2577" max="2578" width="7.140625" style="98" customWidth="1"/>
    <col min="2579" max="2817" width="8.85546875" style="98"/>
    <col min="2818" max="2818" width="50.28515625" style="98" customWidth="1"/>
    <col min="2819" max="2819" width="12.5703125" style="98" customWidth="1"/>
    <col min="2820" max="2824" width="0" style="98" hidden="1" customWidth="1"/>
    <col min="2825" max="2826" width="9.7109375" style="98" customWidth="1"/>
    <col min="2827" max="2828" width="10.7109375" style="98" customWidth="1"/>
    <col min="2829" max="2830" width="10.42578125" style="98" customWidth="1"/>
    <col min="2831" max="2831" width="7.140625" style="98" customWidth="1"/>
    <col min="2832" max="2832" width="12.28515625" style="98" customWidth="1"/>
    <col min="2833" max="2834" width="7.140625" style="98" customWidth="1"/>
    <col min="2835" max="3073" width="8.85546875" style="98"/>
    <col min="3074" max="3074" width="50.28515625" style="98" customWidth="1"/>
    <col min="3075" max="3075" width="12.5703125" style="98" customWidth="1"/>
    <col min="3076" max="3080" width="0" style="98" hidden="1" customWidth="1"/>
    <col min="3081" max="3082" width="9.7109375" style="98" customWidth="1"/>
    <col min="3083" max="3084" width="10.7109375" style="98" customWidth="1"/>
    <col min="3085" max="3086" width="10.42578125" style="98" customWidth="1"/>
    <col min="3087" max="3087" width="7.140625" style="98" customWidth="1"/>
    <col min="3088" max="3088" width="12.28515625" style="98" customWidth="1"/>
    <col min="3089" max="3090" width="7.140625" style="98" customWidth="1"/>
    <col min="3091" max="3329" width="8.85546875" style="98"/>
    <col min="3330" max="3330" width="50.28515625" style="98" customWidth="1"/>
    <col min="3331" max="3331" width="12.5703125" style="98" customWidth="1"/>
    <col min="3332" max="3336" width="0" style="98" hidden="1" customWidth="1"/>
    <col min="3337" max="3338" width="9.7109375" style="98" customWidth="1"/>
    <col min="3339" max="3340" width="10.7109375" style="98" customWidth="1"/>
    <col min="3341" max="3342" width="10.42578125" style="98" customWidth="1"/>
    <col min="3343" max="3343" width="7.140625" style="98" customWidth="1"/>
    <col min="3344" max="3344" width="12.28515625" style="98" customWidth="1"/>
    <col min="3345" max="3346" width="7.140625" style="98" customWidth="1"/>
    <col min="3347" max="3585" width="8.85546875" style="98"/>
    <col min="3586" max="3586" width="50.28515625" style="98" customWidth="1"/>
    <col min="3587" max="3587" width="12.5703125" style="98" customWidth="1"/>
    <col min="3588" max="3592" width="0" style="98" hidden="1" customWidth="1"/>
    <col min="3593" max="3594" width="9.7109375" style="98" customWidth="1"/>
    <col min="3595" max="3596" width="10.7109375" style="98" customWidth="1"/>
    <col min="3597" max="3598" width="10.42578125" style="98" customWidth="1"/>
    <col min="3599" max="3599" width="7.140625" style="98" customWidth="1"/>
    <col min="3600" max="3600" width="12.28515625" style="98" customWidth="1"/>
    <col min="3601" max="3602" width="7.140625" style="98" customWidth="1"/>
    <col min="3603" max="3841" width="8.85546875" style="98"/>
    <col min="3842" max="3842" width="50.28515625" style="98" customWidth="1"/>
    <col min="3843" max="3843" width="12.5703125" style="98" customWidth="1"/>
    <col min="3844" max="3848" width="0" style="98" hidden="1" customWidth="1"/>
    <col min="3849" max="3850" width="9.7109375" style="98" customWidth="1"/>
    <col min="3851" max="3852" width="10.7109375" style="98" customWidth="1"/>
    <col min="3853" max="3854" width="10.42578125" style="98" customWidth="1"/>
    <col min="3855" max="3855" width="7.140625" style="98" customWidth="1"/>
    <col min="3856" max="3856" width="12.28515625" style="98" customWidth="1"/>
    <col min="3857" max="3858" width="7.140625" style="98" customWidth="1"/>
    <col min="3859" max="4097" width="8.85546875" style="98"/>
    <col min="4098" max="4098" width="50.28515625" style="98" customWidth="1"/>
    <col min="4099" max="4099" width="12.5703125" style="98" customWidth="1"/>
    <col min="4100" max="4104" width="0" style="98" hidden="1" customWidth="1"/>
    <col min="4105" max="4106" width="9.7109375" style="98" customWidth="1"/>
    <col min="4107" max="4108" width="10.7109375" style="98" customWidth="1"/>
    <col min="4109" max="4110" width="10.42578125" style="98" customWidth="1"/>
    <col min="4111" max="4111" width="7.140625" style="98" customWidth="1"/>
    <col min="4112" max="4112" width="12.28515625" style="98" customWidth="1"/>
    <col min="4113" max="4114" width="7.140625" style="98" customWidth="1"/>
    <col min="4115" max="4353" width="8.85546875" style="98"/>
    <col min="4354" max="4354" width="50.28515625" style="98" customWidth="1"/>
    <col min="4355" max="4355" width="12.5703125" style="98" customWidth="1"/>
    <col min="4356" max="4360" width="0" style="98" hidden="1" customWidth="1"/>
    <col min="4361" max="4362" width="9.7109375" style="98" customWidth="1"/>
    <col min="4363" max="4364" width="10.7109375" style="98" customWidth="1"/>
    <col min="4365" max="4366" width="10.42578125" style="98" customWidth="1"/>
    <col min="4367" max="4367" width="7.140625" style="98" customWidth="1"/>
    <col min="4368" max="4368" width="12.28515625" style="98" customWidth="1"/>
    <col min="4369" max="4370" width="7.140625" style="98" customWidth="1"/>
    <col min="4371" max="4609" width="8.85546875" style="98"/>
    <col min="4610" max="4610" width="50.28515625" style="98" customWidth="1"/>
    <col min="4611" max="4611" width="12.5703125" style="98" customWidth="1"/>
    <col min="4612" max="4616" width="0" style="98" hidden="1" customWidth="1"/>
    <col min="4617" max="4618" width="9.7109375" style="98" customWidth="1"/>
    <col min="4619" max="4620" width="10.7109375" style="98" customWidth="1"/>
    <col min="4621" max="4622" width="10.42578125" style="98" customWidth="1"/>
    <col min="4623" max="4623" width="7.140625" style="98" customWidth="1"/>
    <col min="4624" max="4624" width="12.28515625" style="98" customWidth="1"/>
    <col min="4625" max="4626" width="7.140625" style="98" customWidth="1"/>
    <col min="4627" max="4865" width="8.85546875" style="98"/>
    <col min="4866" max="4866" width="50.28515625" style="98" customWidth="1"/>
    <col min="4867" max="4867" width="12.5703125" style="98" customWidth="1"/>
    <col min="4868" max="4872" width="0" style="98" hidden="1" customWidth="1"/>
    <col min="4873" max="4874" width="9.7109375" style="98" customWidth="1"/>
    <col min="4875" max="4876" width="10.7109375" style="98" customWidth="1"/>
    <col min="4877" max="4878" width="10.42578125" style="98" customWidth="1"/>
    <col min="4879" max="4879" width="7.140625" style="98" customWidth="1"/>
    <col min="4880" max="4880" width="12.28515625" style="98" customWidth="1"/>
    <col min="4881" max="4882" width="7.140625" style="98" customWidth="1"/>
    <col min="4883" max="5121" width="8.85546875" style="98"/>
    <col min="5122" max="5122" width="50.28515625" style="98" customWidth="1"/>
    <col min="5123" max="5123" width="12.5703125" style="98" customWidth="1"/>
    <col min="5124" max="5128" width="0" style="98" hidden="1" customWidth="1"/>
    <col min="5129" max="5130" width="9.7109375" style="98" customWidth="1"/>
    <col min="5131" max="5132" width="10.7109375" style="98" customWidth="1"/>
    <col min="5133" max="5134" width="10.42578125" style="98" customWidth="1"/>
    <col min="5135" max="5135" width="7.140625" style="98" customWidth="1"/>
    <col min="5136" max="5136" width="12.28515625" style="98" customWidth="1"/>
    <col min="5137" max="5138" width="7.140625" style="98" customWidth="1"/>
    <col min="5139" max="5377" width="8.85546875" style="98"/>
    <col min="5378" max="5378" width="50.28515625" style="98" customWidth="1"/>
    <col min="5379" max="5379" width="12.5703125" style="98" customWidth="1"/>
    <col min="5380" max="5384" width="0" style="98" hidden="1" customWidth="1"/>
    <col min="5385" max="5386" width="9.7109375" style="98" customWidth="1"/>
    <col min="5387" max="5388" width="10.7109375" style="98" customWidth="1"/>
    <col min="5389" max="5390" width="10.42578125" style="98" customWidth="1"/>
    <col min="5391" max="5391" width="7.140625" style="98" customWidth="1"/>
    <col min="5392" max="5392" width="12.28515625" style="98" customWidth="1"/>
    <col min="5393" max="5394" width="7.140625" style="98" customWidth="1"/>
    <col min="5395" max="5633" width="8.85546875" style="98"/>
    <col min="5634" max="5634" width="50.28515625" style="98" customWidth="1"/>
    <col min="5635" max="5635" width="12.5703125" style="98" customWidth="1"/>
    <col min="5636" max="5640" width="0" style="98" hidden="1" customWidth="1"/>
    <col min="5641" max="5642" width="9.7109375" style="98" customWidth="1"/>
    <col min="5643" max="5644" width="10.7109375" style="98" customWidth="1"/>
    <col min="5645" max="5646" width="10.42578125" style="98" customWidth="1"/>
    <col min="5647" max="5647" width="7.140625" style="98" customWidth="1"/>
    <col min="5648" max="5648" width="12.28515625" style="98" customWidth="1"/>
    <col min="5649" max="5650" width="7.140625" style="98" customWidth="1"/>
    <col min="5651" max="5889" width="8.85546875" style="98"/>
    <col min="5890" max="5890" width="50.28515625" style="98" customWidth="1"/>
    <col min="5891" max="5891" width="12.5703125" style="98" customWidth="1"/>
    <col min="5892" max="5896" width="0" style="98" hidden="1" customWidth="1"/>
    <col min="5897" max="5898" width="9.7109375" style="98" customWidth="1"/>
    <col min="5899" max="5900" width="10.7109375" style="98" customWidth="1"/>
    <col min="5901" max="5902" width="10.42578125" style="98" customWidth="1"/>
    <col min="5903" max="5903" width="7.140625" style="98" customWidth="1"/>
    <col min="5904" max="5904" width="12.28515625" style="98" customWidth="1"/>
    <col min="5905" max="5906" width="7.140625" style="98" customWidth="1"/>
    <col min="5907" max="6145" width="8.85546875" style="98"/>
    <col min="6146" max="6146" width="50.28515625" style="98" customWidth="1"/>
    <col min="6147" max="6147" width="12.5703125" style="98" customWidth="1"/>
    <col min="6148" max="6152" width="0" style="98" hidden="1" customWidth="1"/>
    <col min="6153" max="6154" width="9.7109375" style="98" customWidth="1"/>
    <col min="6155" max="6156" width="10.7109375" style="98" customWidth="1"/>
    <col min="6157" max="6158" width="10.42578125" style="98" customWidth="1"/>
    <col min="6159" max="6159" width="7.140625" style="98" customWidth="1"/>
    <col min="6160" max="6160" width="12.28515625" style="98" customWidth="1"/>
    <col min="6161" max="6162" width="7.140625" style="98" customWidth="1"/>
    <col min="6163" max="6401" width="8.85546875" style="98"/>
    <col min="6402" max="6402" width="50.28515625" style="98" customWidth="1"/>
    <col min="6403" max="6403" width="12.5703125" style="98" customWidth="1"/>
    <col min="6404" max="6408" width="0" style="98" hidden="1" customWidth="1"/>
    <col min="6409" max="6410" width="9.7109375" style="98" customWidth="1"/>
    <col min="6411" max="6412" width="10.7109375" style="98" customWidth="1"/>
    <col min="6413" max="6414" width="10.42578125" style="98" customWidth="1"/>
    <col min="6415" max="6415" width="7.140625" style="98" customWidth="1"/>
    <col min="6416" max="6416" width="12.28515625" style="98" customWidth="1"/>
    <col min="6417" max="6418" width="7.140625" style="98" customWidth="1"/>
    <col min="6419" max="6657" width="8.85546875" style="98"/>
    <col min="6658" max="6658" width="50.28515625" style="98" customWidth="1"/>
    <col min="6659" max="6659" width="12.5703125" style="98" customWidth="1"/>
    <col min="6660" max="6664" width="0" style="98" hidden="1" customWidth="1"/>
    <col min="6665" max="6666" width="9.7109375" style="98" customWidth="1"/>
    <col min="6667" max="6668" width="10.7109375" style="98" customWidth="1"/>
    <col min="6669" max="6670" width="10.42578125" style="98" customWidth="1"/>
    <col min="6671" max="6671" width="7.140625" style="98" customWidth="1"/>
    <col min="6672" max="6672" width="12.28515625" style="98" customWidth="1"/>
    <col min="6673" max="6674" width="7.140625" style="98" customWidth="1"/>
    <col min="6675" max="6913" width="8.85546875" style="98"/>
    <col min="6914" max="6914" width="50.28515625" style="98" customWidth="1"/>
    <col min="6915" max="6915" width="12.5703125" style="98" customWidth="1"/>
    <col min="6916" max="6920" width="0" style="98" hidden="1" customWidth="1"/>
    <col min="6921" max="6922" width="9.7109375" style="98" customWidth="1"/>
    <col min="6923" max="6924" width="10.7109375" style="98" customWidth="1"/>
    <col min="6925" max="6926" width="10.42578125" style="98" customWidth="1"/>
    <col min="6927" max="6927" width="7.140625" style="98" customWidth="1"/>
    <col min="6928" max="6928" width="12.28515625" style="98" customWidth="1"/>
    <col min="6929" max="6930" width="7.140625" style="98" customWidth="1"/>
    <col min="6931" max="7169" width="8.85546875" style="98"/>
    <col min="7170" max="7170" width="50.28515625" style="98" customWidth="1"/>
    <col min="7171" max="7171" width="12.5703125" style="98" customWidth="1"/>
    <col min="7172" max="7176" width="0" style="98" hidden="1" customWidth="1"/>
    <col min="7177" max="7178" width="9.7109375" style="98" customWidth="1"/>
    <col min="7179" max="7180" width="10.7109375" style="98" customWidth="1"/>
    <col min="7181" max="7182" width="10.42578125" style="98" customWidth="1"/>
    <col min="7183" max="7183" width="7.140625" style="98" customWidth="1"/>
    <col min="7184" max="7184" width="12.28515625" style="98" customWidth="1"/>
    <col min="7185" max="7186" width="7.140625" style="98" customWidth="1"/>
    <col min="7187" max="7425" width="8.85546875" style="98"/>
    <col min="7426" max="7426" width="50.28515625" style="98" customWidth="1"/>
    <col min="7427" max="7427" width="12.5703125" style="98" customWidth="1"/>
    <col min="7428" max="7432" width="0" style="98" hidden="1" customWidth="1"/>
    <col min="7433" max="7434" width="9.7109375" style="98" customWidth="1"/>
    <col min="7435" max="7436" width="10.7109375" style="98" customWidth="1"/>
    <col min="7437" max="7438" width="10.42578125" style="98" customWidth="1"/>
    <col min="7439" max="7439" width="7.140625" style="98" customWidth="1"/>
    <col min="7440" max="7440" width="12.28515625" style="98" customWidth="1"/>
    <col min="7441" max="7442" width="7.140625" style="98" customWidth="1"/>
    <col min="7443" max="7681" width="8.85546875" style="98"/>
    <col min="7682" max="7682" width="50.28515625" style="98" customWidth="1"/>
    <col min="7683" max="7683" width="12.5703125" style="98" customWidth="1"/>
    <col min="7684" max="7688" width="0" style="98" hidden="1" customWidth="1"/>
    <col min="7689" max="7690" width="9.7109375" style="98" customWidth="1"/>
    <col min="7691" max="7692" width="10.7109375" style="98" customWidth="1"/>
    <col min="7693" max="7694" width="10.42578125" style="98" customWidth="1"/>
    <col min="7695" max="7695" width="7.140625" style="98" customWidth="1"/>
    <col min="7696" max="7696" width="12.28515625" style="98" customWidth="1"/>
    <col min="7697" max="7698" width="7.140625" style="98" customWidth="1"/>
    <col min="7699" max="7937" width="8.85546875" style="98"/>
    <col min="7938" max="7938" width="50.28515625" style="98" customWidth="1"/>
    <col min="7939" max="7939" width="12.5703125" style="98" customWidth="1"/>
    <col min="7940" max="7944" width="0" style="98" hidden="1" customWidth="1"/>
    <col min="7945" max="7946" width="9.7109375" style="98" customWidth="1"/>
    <col min="7947" max="7948" width="10.7109375" style="98" customWidth="1"/>
    <col min="7949" max="7950" width="10.42578125" style="98" customWidth="1"/>
    <col min="7951" max="7951" width="7.140625" style="98" customWidth="1"/>
    <col min="7952" max="7952" width="12.28515625" style="98" customWidth="1"/>
    <col min="7953" max="7954" width="7.140625" style="98" customWidth="1"/>
    <col min="7955" max="8193" width="8.85546875" style="98"/>
    <col min="8194" max="8194" width="50.28515625" style="98" customWidth="1"/>
    <col min="8195" max="8195" width="12.5703125" style="98" customWidth="1"/>
    <col min="8196" max="8200" width="0" style="98" hidden="1" customWidth="1"/>
    <col min="8201" max="8202" width="9.7109375" style="98" customWidth="1"/>
    <col min="8203" max="8204" width="10.7109375" style="98" customWidth="1"/>
    <col min="8205" max="8206" width="10.42578125" style="98" customWidth="1"/>
    <col min="8207" max="8207" width="7.140625" style="98" customWidth="1"/>
    <col min="8208" max="8208" width="12.28515625" style="98" customWidth="1"/>
    <col min="8209" max="8210" width="7.140625" style="98" customWidth="1"/>
    <col min="8211" max="8449" width="8.85546875" style="98"/>
    <col min="8450" max="8450" width="50.28515625" style="98" customWidth="1"/>
    <col min="8451" max="8451" width="12.5703125" style="98" customWidth="1"/>
    <col min="8452" max="8456" width="0" style="98" hidden="1" customWidth="1"/>
    <col min="8457" max="8458" width="9.7109375" style="98" customWidth="1"/>
    <col min="8459" max="8460" width="10.7109375" style="98" customWidth="1"/>
    <col min="8461" max="8462" width="10.42578125" style="98" customWidth="1"/>
    <col min="8463" max="8463" width="7.140625" style="98" customWidth="1"/>
    <col min="8464" max="8464" width="12.28515625" style="98" customWidth="1"/>
    <col min="8465" max="8466" width="7.140625" style="98" customWidth="1"/>
    <col min="8467" max="8705" width="8.85546875" style="98"/>
    <col min="8706" max="8706" width="50.28515625" style="98" customWidth="1"/>
    <col min="8707" max="8707" width="12.5703125" style="98" customWidth="1"/>
    <col min="8708" max="8712" width="0" style="98" hidden="1" customWidth="1"/>
    <col min="8713" max="8714" width="9.7109375" style="98" customWidth="1"/>
    <col min="8715" max="8716" width="10.7109375" style="98" customWidth="1"/>
    <col min="8717" max="8718" width="10.42578125" style="98" customWidth="1"/>
    <col min="8719" max="8719" width="7.140625" style="98" customWidth="1"/>
    <col min="8720" max="8720" width="12.28515625" style="98" customWidth="1"/>
    <col min="8721" max="8722" width="7.140625" style="98" customWidth="1"/>
    <col min="8723" max="8961" width="8.85546875" style="98"/>
    <col min="8962" max="8962" width="50.28515625" style="98" customWidth="1"/>
    <col min="8963" max="8963" width="12.5703125" style="98" customWidth="1"/>
    <col min="8964" max="8968" width="0" style="98" hidden="1" customWidth="1"/>
    <col min="8969" max="8970" width="9.7109375" style="98" customWidth="1"/>
    <col min="8971" max="8972" width="10.7109375" style="98" customWidth="1"/>
    <col min="8973" max="8974" width="10.42578125" style="98" customWidth="1"/>
    <col min="8975" max="8975" width="7.140625" style="98" customWidth="1"/>
    <col min="8976" max="8976" width="12.28515625" style="98" customWidth="1"/>
    <col min="8977" max="8978" width="7.140625" style="98" customWidth="1"/>
    <col min="8979" max="9217" width="8.85546875" style="98"/>
    <col min="9218" max="9218" width="50.28515625" style="98" customWidth="1"/>
    <col min="9219" max="9219" width="12.5703125" style="98" customWidth="1"/>
    <col min="9220" max="9224" width="0" style="98" hidden="1" customWidth="1"/>
    <col min="9225" max="9226" width="9.7109375" style="98" customWidth="1"/>
    <col min="9227" max="9228" width="10.7109375" style="98" customWidth="1"/>
    <col min="9229" max="9230" width="10.42578125" style="98" customWidth="1"/>
    <col min="9231" max="9231" width="7.140625" style="98" customWidth="1"/>
    <col min="9232" max="9232" width="12.28515625" style="98" customWidth="1"/>
    <col min="9233" max="9234" width="7.140625" style="98" customWidth="1"/>
    <col min="9235" max="9473" width="8.85546875" style="98"/>
    <col min="9474" max="9474" width="50.28515625" style="98" customWidth="1"/>
    <col min="9475" max="9475" width="12.5703125" style="98" customWidth="1"/>
    <col min="9476" max="9480" width="0" style="98" hidden="1" customWidth="1"/>
    <col min="9481" max="9482" width="9.7109375" style="98" customWidth="1"/>
    <col min="9483" max="9484" width="10.7109375" style="98" customWidth="1"/>
    <col min="9485" max="9486" width="10.42578125" style="98" customWidth="1"/>
    <col min="9487" max="9487" width="7.140625" style="98" customWidth="1"/>
    <col min="9488" max="9488" width="12.28515625" style="98" customWidth="1"/>
    <col min="9489" max="9490" width="7.140625" style="98" customWidth="1"/>
    <col min="9491" max="9729" width="8.85546875" style="98"/>
    <col min="9730" max="9730" width="50.28515625" style="98" customWidth="1"/>
    <col min="9731" max="9731" width="12.5703125" style="98" customWidth="1"/>
    <col min="9732" max="9736" width="0" style="98" hidden="1" customWidth="1"/>
    <col min="9737" max="9738" width="9.7109375" style="98" customWidth="1"/>
    <col min="9739" max="9740" width="10.7109375" style="98" customWidth="1"/>
    <col min="9741" max="9742" width="10.42578125" style="98" customWidth="1"/>
    <col min="9743" max="9743" width="7.140625" style="98" customWidth="1"/>
    <col min="9744" max="9744" width="12.28515625" style="98" customWidth="1"/>
    <col min="9745" max="9746" width="7.140625" style="98" customWidth="1"/>
    <col min="9747" max="9985" width="8.85546875" style="98"/>
    <col min="9986" max="9986" width="50.28515625" style="98" customWidth="1"/>
    <col min="9987" max="9987" width="12.5703125" style="98" customWidth="1"/>
    <col min="9988" max="9992" width="0" style="98" hidden="1" customWidth="1"/>
    <col min="9993" max="9994" width="9.7109375" style="98" customWidth="1"/>
    <col min="9995" max="9996" width="10.7109375" style="98" customWidth="1"/>
    <col min="9997" max="9998" width="10.42578125" style="98" customWidth="1"/>
    <col min="9999" max="9999" width="7.140625" style="98" customWidth="1"/>
    <col min="10000" max="10000" width="12.28515625" style="98" customWidth="1"/>
    <col min="10001" max="10002" width="7.140625" style="98" customWidth="1"/>
    <col min="10003" max="10241" width="8.85546875" style="98"/>
    <col min="10242" max="10242" width="50.28515625" style="98" customWidth="1"/>
    <col min="10243" max="10243" width="12.5703125" style="98" customWidth="1"/>
    <col min="10244" max="10248" width="0" style="98" hidden="1" customWidth="1"/>
    <col min="10249" max="10250" width="9.7109375" style="98" customWidth="1"/>
    <col min="10251" max="10252" width="10.7109375" style="98" customWidth="1"/>
    <col min="10253" max="10254" width="10.42578125" style="98" customWidth="1"/>
    <col min="10255" max="10255" width="7.140625" style="98" customWidth="1"/>
    <col min="10256" max="10256" width="12.28515625" style="98" customWidth="1"/>
    <col min="10257" max="10258" width="7.140625" style="98" customWidth="1"/>
    <col min="10259" max="10497" width="8.85546875" style="98"/>
    <col min="10498" max="10498" width="50.28515625" style="98" customWidth="1"/>
    <col min="10499" max="10499" width="12.5703125" style="98" customWidth="1"/>
    <col min="10500" max="10504" width="0" style="98" hidden="1" customWidth="1"/>
    <col min="10505" max="10506" width="9.7109375" style="98" customWidth="1"/>
    <col min="10507" max="10508" width="10.7109375" style="98" customWidth="1"/>
    <col min="10509" max="10510" width="10.42578125" style="98" customWidth="1"/>
    <col min="10511" max="10511" width="7.140625" style="98" customWidth="1"/>
    <col min="10512" max="10512" width="12.28515625" style="98" customWidth="1"/>
    <col min="10513" max="10514" width="7.140625" style="98" customWidth="1"/>
    <col min="10515" max="10753" width="8.85546875" style="98"/>
    <col min="10754" max="10754" width="50.28515625" style="98" customWidth="1"/>
    <col min="10755" max="10755" width="12.5703125" style="98" customWidth="1"/>
    <col min="10756" max="10760" width="0" style="98" hidden="1" customWidth="1"/>
    <col min="10761" max="10762" width="9.7109375" style="98" customWidth="1"/>
    <col min="10763" max="10764" width="10.7109375" style="98" customWidth="1"/>
    <col min="10765" max="10766" width="10.42578125" style="98" customWidth="1"/>
    <col min="10767" max="10767" width="7.140625" style="98" customWidth="1"/>
    <col min="10768" max="10768" width="12.28515625" style="98" customWidth="1"/>
    <col min="10769" max="10770" width="7.140625" style="98" customWidth="1"/>
    <col min="10771" max="11009" width="8.85546875" style="98"/>
    <col min="11010" max="11010" width="50.28515625" style="98" customWidth="1"/>
    <col min="11011" max="11011" width="12.5703125" style="98" customWidth="1"/>
    <col min="11012" max="11016" width="0" style="98" hidden="1" customWidth="1"/>
    <col min="11017" max="11018" width="9.7109375" style="98" customWidth="1"/>
    <col min="11019" max="11020" width="10.7109375" style="98" customWidth="1"/>
    <col min="11021" max="11022" width="10.42578125" style="98" customWidth="1"/>
    <col min="11023" max="11023" width="7.140625" style="98" customWidth="1"/>
    <col min="11024" max="11024" width="12.28515625" style="98" customWidth="1"/>
    <col min="11025" max="11026" width="7.140625" style="98" customWidth="1"/>
    <col min="11027" max="11265" width="8.85546875" style="98"/>
    <col min="11266" max="11266" width="50.28515625" style="98" customWidth="1"/>
    <col min="11267" max="11267" width="12.5703125" style="98" customWidth="1"/>
    <col min="11268" max="11272" width="0" style="98" hidden="1" customWidth="1"/>
    <col min="11273" max="11274" width="9.7109375" style="98" customWidth="1"/>
    <col min="11275" max="11276" width="10.7109375" style="98" customWidth="1"/>
    <col min="11277" max="11278" width="10.42578125" style="98" customWidth="1"/>
    <col min="11279" max="11279" width="7.140625" style="98" customWidth="1"/>
    <col min="11280" max="11280" width="12.28515625" style="98" customWidth="1"/>
    <col min="11281" max="11282" width="7.140625" style="98" customWidth="1"/>
    <col min="11283" max="11521" width="8.85546875" style="98"/>
    <col min="11522" max="11522" width="50.28515625" style="98" customWidth="1"/>
    <col min="11523" max="11523" width="12.5703125" style="98" customWidth="1"/>
    <col min="11524" max="11528" width="0" style="98" hidden="1" customWidth="1"/>
    <col min="11529" max="11530" width="9.7109375" style="98" customWidth="1"/>
    <col min="11531" max="11532" width="10.7109375" style="98" customWidth="1"/>
    <col min="11533" max="11534" width="10.42578125" style="98" customWidth="1"/>
    <col min="11535" max="11535" width="7.140625" style="98" customWidth="1"/>
    <col min="11536" max="11536" width="12.28515625" style="98" customWidth="1"/>
    <col min="11537" max="11538" width="7.140625" style="98" customWidth="1"/>
    <col min="11539" max="11777" width="8.85546875" style="98"/>
    <col min="11778" max="11778" width="50.28515625" style="98" customWidth="1"/>
    <col min="11779" max="11779" width="12.5703125" style="98" customWidth="1"/>
    <col min="11780" max="11784" width="0" style="98" hidden="1" customWidth="1"/>
    <col min="11785" max="11786" width="9.7109375" style="98" customWidth="1"/>
    <col min="11787" max="11788" width="10.7109375" style="98" customWidth="1"/>
    <col min="11789" max="11790" width="10.42578125" style="98" customWidth="1"/>
    <col min="11791" max="11791" width="7.140625" style="98" customWidth="1"/>
    <col min="11792" max="11792" width="12.28515625" style="98" customWidth="1"/>
    <col min="11793" max="11794" width="7.140625" style="98" customWidth="1"/>
    <col min="11795" max="12033" width="8.85546875" style="98"/>
    <col min="12034" max="12034" width="50.28515625" style="98" customWidth="1"/>
    <col min="12035" max="12035" width="12.5703125" style="98" customWidth="1"/>
    <col min="12036" max="12040" width="0" style="98" hidden="1" customWidth="1"/>
    <col min="12041" max="12042" width="9.7109375" style="98" customWidth="1"/>
    <col min="12043" max="12044" width="10.7109375" style="98" customWidth="1"/>
    <col min="12045" max="12046" width="10.42578125" style="98" customWidth="1"/>
    <col min="12047" max="12047" width="7.140625" style="98" customWidth="1"/>
    <col min="12048" max="12048" width="12.28515625" style="98" customWidth="1"/>
    <col min="12049" max="12050" width="7.140625" style="98" customWidth="1"/>
    <col min="12051" max="12289" width="8.85546875" style="98"/>
    <col min="12290" max="12290" width="50.28515625" style="98" customWidth="1"/>
    <col min="12291" max="12291" width="12.5703125" style="98" customWidth="1"/>
    <col min="12292" max="12296" width="0" style="98" hidden="1" customWidth="1"/>
    <col min="12297" max="12298" width="9.7109375" style="98" customWidth="1"/>
    <col min="12299" max="12300" width="10.7109375" style="98" customWidth="1"/>
    <col min="12301" max="12302" width="10.42578125" style="98" customWidth="1"/>
    <col min="12303" max="12303" width="7.140625" style="98" customWidth="1"/>
    <col min="12304" max="12304" width="12.28515625" style="98" customWidth="1"/>
    <col min="12305" max="12306" width="7.140625" style="98" customWidth="1"/>
    <col min="12307" max="12545" width="8.85546875" style="98"/>
    <col min="12546" max="12546" width="50.28515625" style="98" customWidth="1"/>
    <col min="12547" max="12547" width="12.5703125" style="98" customWidth="1"/>
    <col min="12548" max="12552" width="0" style="98" hidden="1" customWidth="1"/>
    <col min="12553" max="12554" width="9.7109375" style="98" customWidth="1"/>
    <col min="12555" max="12556" width="10.7109375" style="98" customWidth="1"/>
    <col min="12557" max="12558" width="10.42578125" style="98" customWidth="1"/>
    <col min="12559" max="12559" width="7.140625" style="98" customWidth="1"/>
    <col min="12560" max="12560" width="12.28515625" style="98" customWidth="1"/>
    <col min="12561" max="12562" width="7.140625" style="98" customWidth="1"/>
    <col min="12563" max="12801" width="8.85546875" style="98"/>
    <col min="12802" max="12802" width="50.28515625" style="98" customWidth="1"/>
    <col min="12803" max="12803" width="12.5703125" style="98" customWidth="1"/>
    <col min="12804" max="12808" width="0" style="98" hidden="1" customWidth="1"/>
    <col min="12809" max="12810" width="9.7109375" style="98" customWidth="1"/>
    <col min="12811" max="12812" width="10.7109375" style="98" customWidth="1"/>
    <col min="12813" max="12814" width="10.42578125" style="98" customWidth="1"/>
    <col min="12815" max="12815" width="7.140625" style="98" customWidth="1"/>
    <col min="12816" max="12816" width="12.28515625" style="98" customWidth="1"/>
    <col min="12817" max="12818" width="7.140625" style="98" customWidth="1"/>
    <col min="12819" max="13057" width="8.85546875" style="98"/>
    <col min="13058" max="13058" width="50.28515625" style="98" customWidth="1"/>
    <col min="13059" max="13059" width="12.5703125" style="98" customWidth="1"/>
    <col min="13060" max="13064" width="0" style="98" hidden="1" customWidth="1"/>
    <col min="13065" max="13066" width="9.7109375" style="98" customWidth="1"/>
    <col min="13067" max="13068" width="10.7109375" style="98" customWidth="1"/>
    <col min="13069" max="13070" width="10.42578125" style="98" customWidth="1"/>
    <col min="13071" max="13071" width="7.140625" style="98" customWidth="1"/>
    <col min="13072" max="13072" width="12.28515625" style="98" customWidth="1"/>
    <col min="13073" max="13074" width="7.140625" style="98" customWidth="1"/>
    <col min="13075" max="13313" width="8.85546875" style="98"/>
    <col min="13314" max="13314" width="50.28515625" style="98" customWidth="1"/>
    <col min="13315" max="13315" width="12.5703125" style="98" customWidth="1"/>
    <col min="13316" max="13320" width="0" style="98" hidden="1" customWidth="1"/>
    <col min="13321" max="13322" width="9.7109375" style="98" customWidth="1"/>
    <col min="13323" max="13324" width="10.7109375" style="98" customWidth="1"/>
    <col min="13325" max="13326" width="10.42578125" style="98" customWidth="1"/>
    <col min="13327" max="13327" width="7.140625" style="98" customWidth="1"/>
    <col min="13328" max="13328" width="12.28515625" style="98" customWidth="1"/>
    <col min="13329" max="13330" width="7.140625" style="98" customWidth="1"/>
    <col min="13331" max="13569" width="8.85546875" style="98"/>
    <col min="13570" max="13570" width="50.28515625" style="98" customWidth="1"/>
    <col min="13571" max="13571" width="12.5703125" style="98" customWidth="1"/>
    <col min="13572" max="13576" width="0" style="98" hidden="1" customWidth="1"/>
    <col min="13577" max="13578" width="9.7109375" style="98" customWidth="1"/>
    <col min="13579" max="13580" width="10.7109375" style="98" customWidth="1"/>
    <col min="13581" max="13582" width="10.42578125" style="98" customWidth="1"/>
    <col min="13583" max="13583" width="7.140625" style="98" customWidth="1"/>
    <col min="13584" max="13584" width="12.28515625" style="98" customWidth="1"/>
    <col min="13585" max="13586" width="7.140625" style="98" customWidth="1"/>
    <col min="13587" max="13825" width="8.85546875" style="98"/>
    <col min="13826" max="13826" width="50.28515625" style="98" customWidth="1"/>
    <col min="13827" max="13827" width="12.5703125" style="98" customWidth="1"/>
    <col min="13828" max="13832" width="0" style="98" hidden="1" customWidth="1"/>
    <col min="13833" max="13834" width="9.7109375" style="98" customWidth="1"/>
    <col min="13835" max="13836" width="10.7109375" style="98" customWidth="1"/>
    <col min="13837" max="13838" width="10.42578125" style="98" customWidth="1"/>
    <col min="13839" max="13839" width="7.140625" style="98" customWidth="1"/>
    <col min="13840" max="13840" width="12.28515625" style="98" customWidth="1"/>
    <col min="13841" max="13842" width="7.140625" style="98" customWidth="1"/>
    <col min="13843" max="14081" width="8.85546875" style="98"/>
    <col min="14082" max="14082" width="50.28515625" style="98" customWidth="1"/>
    <col min="14083" max="14083" width="12.5703125" style="98" customWidth="1"/>
    <col min="14084" max="14088" width="0" style="98" hidden="1" customWidth="1"/>
    <col min="14089" max="14090" width="9.7109375" style="98" customWidth="1"/>
    <col min="14091" max="14092" width="10.7109375" style="98" customWidth="1"/>
    <col min="14093" max="14094" width="10.42578125" style="98" customWidth="1"/>
    <col min="14095" max="14095" width="7.140625" style="98" customWidth="1"/>
    <col min="14096" max="14096" width="12.28515625" style="98" customWidth="1"/>
    <col min="14097" max="14098" width="7.140625" style="98" customWidth="1"/>
    <col min="14099" max="14337" width="8.85546875" style="98"/>
    <col min="14338" max="14338" width="50.28515625" style="98" customWidth="1"/>
    <col min="14339" max="14339" width="12.5703125" style="98" customWidth="1"/>
    <col min="14340" max="14344" width="0" style="98" hidden="1" customWidth="1"/>
    <col min="14345" max="14346" width="9.7109375" style="98" customWidth="1"/>
    <col min="14347" max="14348" width="10.7109375" style="98" customWidth="1"/>
    <col min="14349" max="14350" width="10.42578125" style="98" customWidth="1"/>
    <col min="14351" max="14351" width="7.140625" style="98" customWidth="1"/>
    <col min="14352" max="14352" width="12.28515625" style="98" customWidth="1"/>
    <col min="14353" max="14354" width="7.140625" style="98" customWidth="1"/>
    <col min="14355" max="14593" width="8.85546875" style="98"/>
    <col min="14594" max="14594" width="50.28515625" style="98" customWidth="1"/>
    <col min="14595" max="14595" width="12.5703125" style="98" customWidth="1"/>
    <col min="14596" max="14600" width="0" style="98" hidden="1" customWidth="1"/>
    <col min="14601" max="14602" width="9.7109375" style="98" customWidth="1"/>
    <col min="14603" max="14604" width="10.7109375" style="98" customWidth="1"/>
    <col min="14605" max="14606" width="10.42578125" style="98" customWidth="1"/>
    <col min="14607" max="14607" width="7.140625" style="98" customWidth="1"/>
    <col min="14608" max="14608" width="12.28515625" style="98" customWidth="1"/>
    <col min="14609" max="14610" width="7.140625" style="98" customWidth="1"/>
    <col min="14611" max="14849" width="8.85546875" style="98"/>
    <col min="14850" max="14850" width="50.28515625" style="98" customWidth="1"/>
    <col min="14851" max="14851" width="12.5703125" style="98" customWidth="1"/>
    <col min="14852" max="14856" width="0" style="98" hidden="1" customWidth="1"/>
    <col min="14857" max="14858" width="9.7109375" style="98" customWidth="1"/>
    <col min="14859" max="14860" width="10.7109375" style="98" customWidth="1"/>
    <col min="14861" max="14862" width="10.42578125" style="98" customWidth="1"/>
    <col min="14863" max="14863" width="7.140625" style="98" customWidth="1"/>
    <col min="14864" max="14864" width="12.28515625" style="98" customWidth="1"/>
    <col min="14865" max="14866" width="7.140625" style="98" customWidth="1"/>
    <col min="14867" max="15105" width="8.85546875" style="98"/>
    <col min="15106" max="15106" width="50.28515625" style="98" customWidth="1"/>
    <col min="15107" max="15107" width="12.5703125" style="98" customWidth="1"/>
    <col min="15108" max="15112" width="0" style="98" hidden="1" customWidth="1"/>
    <col min="15113" max="15114" width="9.7109375" style="98" customWidth="1"/>
    <col min="15115" max="15116" width="10.7109375" style="98" customWidth="1"/>
    <col min="15117" max="15118" width="10.42578125" style="98" customWidth="1"/>
    <col min="15119" max="15119" width="7.140625" style="98" customWidth="1"/>
    <col min="15120" max="15120" width="12.28515625" style="98" customWidth="1"/>
    <col min="15121" max="15122" width="7.140625" style="98" customWidth="1"/>
    <col min="15123" max="15361" width="8.85546875" style="98"/>
    <col min="15362" max="15362" width="50.28515625" style="98" customWidth="1"/>
    <col min="15363" max="15363" width="12.5703125" style="98" customWidth="1"/>
    <col min="15364" max="15368" width="0" style="98" hidden="1" customWidth="1"/>
    <col min="15369" max="15370" width="9.7109375" style="98" customWidth="1"/>
    <col min="15371" max="15372" width="10.7109375" style="98" customWidth="1"/>
    <col min="15373" max="15374" width="10.42578125" style="98" customWidth="1"/>
    <col min="15375" max="15375" width="7.140625" style="98" customWidth="1"/>
    <col min="15376" max="15376" width="12.28515625" style="98" customWidth="1"/>
    <col min="15377" max="15378" width="7.140625" style="98" customWidth="1"/>
    <col min="15379" max="15617" width="8.85546875" style="98"/>
    <col min="15618" max="15618" width="50.28515625" style="98" customWidth="1"/>
    <col min="15619" max="15619" width="12.5703125" style="98" customWidth="1"/>
    <col min="15620" max="15624" width="0" style="98" hidden="1" customWidth="1"/>
    <col min="15625" max="15626" width="9.7109375" style="98" customWidth="1"/>
    <col min="15627" max="15628" width="10.7109375" style="98" customWidth="1"/>
    <col min="15629" max="15630" width="10.42578125" style="98" customWidth="1"/>
    <col min="15631" max="15631" width="7.140625" style="98" customWidth="1"/>
    <col min="15632" max="15632" width="12.28515625" style="98" customWidth="1"/>
    <col min="15633" max="15634" width="7.140625" style="98" customWidth="1"/>
    <col min="15635" max="15873" width="8.85546875" style="98"/>
    <col min="15874" max="15874" width="50.28515625" style="98" customWidth="1"/>
    <col min="15875" max="15875" width="12.5703125" style="98" customWidth="1"/>
    <col min="15876" max="15880" width="0" style="98" hidden="1" customWidth="1"/>
    <col min="15881" max="15882" width="9.7109375" style="98" customWidth="1"/>
    <col min="15883" max="15884" width="10.7109375" style="98" customWidth="1"/>
    <col min="15885" max="15886" width="10.42578125" style="98" customWidth="1"/>
    <col min="15887" max="15887" width="7.140625" style="98" customWidth="1"/>
    <col min="15888" max="15888" width="12.28515625" style="98" customWidth="1"/>
    <col min="15889" max="15890" width="7.140625" style="98" customWidth="1"/>
    <col min="15891" max="16129" width="8.85546875" style="98"/>
    <col min="16130" max="16130" width="50.28515625" style="98" customWidth="1"/>
    <col min="16131" max="16131" width="12.5703125" style="98" customWidth="1"/>
    <col min="16132" max="16136" width="0" style="98" hidden="1" customWidth="1"/>
    <col min="16137" max="16138" width="9.7109375" style="98" customWidth="1"/>
    <col min="16139" max="16140" width="10.7109375" style="98" customWidth="1"/>
    <col min="16141" max="16142" width="10.42578125" style="98" customWidth="1"/>
    <col min="16143" max="16143" width="7.140625" style="98" customWidth="1"/>
    <col min="16144" max="16144" width="12.28515625" style="98" customWidth="1"/>
    <col min="16145" max="16146" width="7.140625" style="98" customWidth="1"/>
    <col min="16147" max="16384" width="8.85546875" style="98"/>
  </cols>
  <sheetData>
    <row r="1" spans="1:14" ht="35.25" customHeight="1">
      <c r="A1" s="380" t="s">
        <v>220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ht="31.5">
      <c r="A2" s="381" t="s">
        <v>2</v>
      </c>
      <c r="B2" s="377" t="s">
        <v>3</v>
      </c>
      <c r="C2" s="99" t="s">
        <v>4</v>
      </c>
      <c r="D2" s="100" t="s">
        <v>5</v>
      </c>
      <c r="E2" s="101" t="s">
        <v>6</v>
      </c>
      <c r="F2" s="100" t="s">
        <v>7</v>
      </c>
      <c r="G2" s="102" t="s">
        <v>8</v>
      </c>
      <c r="H2" s="403" t="s">
        <v>8</v>
      </c>
      <c r="I2" s="403"/>
      <c r="J2" s="403"/>
      <c r="K2" s="260" t="s">
        <v>9</v>
      </c>
      <c r="L2" s="389" t="s">
        <v>10</v>
      </c>
      <c r="M2" s="390"/>
      <c r="N2" s="396"/>
    </row>
    <row r="3" spans="1:14">
      <c r="A3" s="382"/>
      <c r="B3" s="384"/>
      <c r="C3" s="104"/>
      <c r="D3" s="105"/>
      <c r="E3" s="106"/>
      <c r="F3" s="104"/>
      <c r="G3" s="381">
        <v>2011</v>
      </c>
      <c r="H3" s="398">
        <v>2013</v>
      </c>
      <c r="I3" s="404">
        <v>2014</v>
      </c>
      <c r="J3" s="398">
        <v>2015</v>
      </c>
      <c r="K3" s="393">
        <v>2016</v>
      </c>
      <c r="L3" s="403">
        <v>2017</v>
      </c>
      <c r="M3" s="402">
        <v>2018</v>
      </c>
      <c r="N3" s="402">
        <v>2019</v>
      </c>
    </row>
    <row r="4" spans="1:14">
      <c r="A4" s="383"/>
      <c r="B4" s="378"/>
      <c r="C4" s="104"/>
      <c r="D4" s="105"/>
      <c r="E4" s="106"/>
      <c r="F4" s="104"/>
      <c r="G4" s="383"/>
      <c r="H4" s="398"/>
      <c r="I4" s="397"/>
      <c r="J4" s="398"/>
      <c r="K4" s="395"/>
      <c r="L4" s="403"/>
      <c r="M4" s="402"/>
      <c r="N4" s="402"/>
    </row>
    <row r="5" spans="1:14" ht="15">
      <c r="A5" s="107" t="s">
        <v>11</v>
      </c>
      <c r="B5" s="108"/>
      <c r="C5" s="109"/>
      <c r="D5" s="110"/>
      <c r="E5" s="110"/>
      <c r="F5" s="110"/>
      <c r="G5" s="111"/>
      <c r="H5" s="117"/>
      <c r="I5" s="117"/>
      <c r="J5" s="146"/>
      <c r="K5" s="146"/>
      <c r="L5" s="117"/>
      <c r="M5" s="117"/>
      <c r="N5" s="146"/>
    </row>
    <row r="6" spans="1:14" ht="21.6" customHeight="1">
      <c r="A6" s="113" t="s">
        <v>12</v>
      </c>
      <c r="B6" s="114" t="s">
        <v>13</v>
      </c>
      <c r="C6" s="115">
        <v>1</v>
      </c>
      <c r="D6" s="116"/>
      <c r="E6" s="116"/>
      <c r="F6" s="116"/>
      <c r="G6" s="117">
        <v>63.08</v>
      </c>
      <c r="H6" s="119">
        <v>65.83</v>
      </c>
      <c r="I6" s="119">
        <v>67.22</v>
      </c>
      <c r="J6" s="119">
        <v>68.42</v>
      </c>
      <c r="K6" s="119">
        <f>J6+1.3</f>
        <v>69.72</v>
      </c>
      <c r="L6" s="119">
        <f>K6+1.4</f>
        <v>71.12</v>
      </c>
      <c r="M6" s="119">
        <f>L6+1.4</f>
        <v>72.52000000000001</v>
      </c>
      <c r="N6" s="247">
        <f>M6+1.3</f>
        <v>73.820000000000007</v>
      </c>
    </row>
    <row r="7" spans="1:14" ht="15" customHeight="1">
      <c r="A7" s="113" t="s">
        <v>14</v>
      </c>
      <c r="B7" s="120" t="s">
        <v>15</v>
      </c>
      <c r="C7" s="115"/>
      <c r="D7" s="116"/>
      <c r="E7" s="116"/>
      <c r="F7" s="116"/>
      <c r="G7" s="117"/>
      <c r="H7" s="121">
        <f t="shared" ref="H7:N7" si="0">H6/G6*100</f>
        <v>104.35954343690553</v>
      </c>
      <c r="I7" s="121">
        <f t="shared" si="0"/>
        <v>102.11149931642109</v>
      </c>
      <c r="J7" s="121">
        <f t="shared" si="0"/>
        <v>101.78518298125559</v>
      </c>
      <c r="K7" s="121">
        <f t="shared" si="0"/>
        <v>101.90002923121895</v>
      </c>
      <c r="L7" s="121">
        <f t="shared" si="0"/>
        <v>102.00803212851406</v>
      </c>
      <c r="M7" s="121">
        <f t="shared" si="0"/>
        <v>101.9685039370079</v>
      </c>
      <c r="N7" s="121">
        <f t="shared" si="0"/>
        <v>101.79260893546606</v>
      </c>
    </row>
    <row r="8" spans="1:14" ht="15" customHeight="1">
      <c r="A8" s="113" t="s">
        <v>16</v>
      </c>
      <c r="B8" s="120" t="s">
        <v>15</v>
      </c>
      <c r="C8" s="115"/>
      <c r="D8" s="116"/>
      <c r="E8" s="116"/>
      <c r="F8" s="116"/>
      <c r="G8" s="117"/>
      <c r="H8" s="119"/>
      <c r="I8" s="119"/>
      <c r="J8" s="119"/>
      <c r="K8" s="119"/>
      <c r="L8" s="119"/>
      <c r="M8" s="119"/>
      <c r="N8" s="119"/>
    </row>
    <row r="9" spans="1:14" ht="15">
      <c r="A9" s="122" t="s">
        <v>17</v>
      </c>
      <c r="B9" s="120"/>
      <c r="C9" s="115"/>
      <c r="D9" s="116"/>
      <c r="E9" s="116"/>
      <c r="F9" s="116"/>
      <c r="G9" s="123"/>
      <c r="H9" s="119"/>
      <c r="I9" s="119"/>
      <c r="J9" s="119"/>
      <c r="K9" s="119"/>
      <c r="L9" s="119"/>
      <c r="M9" s="119"/>
      <c r="N9" s="119"/>
    </row>
    <row r="10" spans="1:14" ht="18" customHeight="1">
      <c r="A10" s="124" t="s">
        <v>18</v>
      </c>
      <c r="B10" s="125"/>
      <c r="C10" s="115"/>
      <c r="D10" s="116"/>
      <c r="E10" s="116"/>
      <c r="F10" s="116"/>
      <c r="G10" s="125"/>
      <c r="H10" s="126" t="s">
        <v>19</v>
      </c>
      <c r="I10" s="127"/>
      <c r="J10" s="127"/>
      <c r="K10" s="127"/>
      <c r="L10" s="127"/>
      <c r="M10" s="127"/>
      <c r="N10" s="128"/>
    </row>
    <row r="11" spans="1:14" ht="24">
      <c r="A11" s="129" t="s">
        <v>20</v>
      </c>
      <c r="B11" s="114" t="s">
        <v>21</v>
      </c>
      <c r="C11" s="115"/>
      <c r="D11" s="116"/>
      <c r="E11" s="116"/>
      <c r="F11" s="116"/>
      <c r="G11" s="117"/>
      <c r="H11" s="119"/>
      <c r="I11" s="119"/>
      <c r="J11" s="119"/>
      <c r="K11" s="119"/>
      <c r="L11" s="119"/>
      <c r="M11" s="119"/>
      <c r="N11" s="119"/>
    </row>
    <row r="12" spans="1:14" ht="12.75">
      <c r="A12" s="113" t="s">
        <v>14</v>
      </c>
      <c r="B12" s="120" t="s">
        <v>15</v>
      </c>
      <c r="C12" s="115"/>
      <c r="D12" s="116"/>
      <c r="E12" s="116"/>
      <c r="F12" s="116"/>
      <c r="G12" s="117"/>
      <c r="H12" s="119"/>
      <c r="I12" s="119"/>
      <c r="J12" s="119"/>
      <c r="K12" s="119"/>
      <c r="L12" s="119"/>
      <c r="M12" s="119"/>
      <c r="N12" s="119"/>
    </row>
    <row r="13" spans="1:14" ht="12.75">
      <c r="A13" s="113" t="s">
        <v>16</v>
      </c>
      <c r="B13" s="120" t="s">
        <v>15</v>
      </c>
      <c r="C13" s="115"/>
      <c r="D13" s="116"/>
      <c r="E13" s="116"/>
      <c r="F13" s="116"/>
      <c r="G13" s="117"/>
      <c r="H13" s="119"/>
      <c r="I13" s="119"/>
      <c r="J13" s="119"/>
      <c r="K13" s="119"/>
      <c r="L13" s="119"/>
      <c r="M13" s="119"/>
      <c r="N13" s="119"/>
    </row>
    <row r="14" spans="1:14" ht="14.25">
      <c r="A14" s="130" t="s">
        <v>22</v>
      </c>
      <c r="B14" s="120"/>
      <c r="C14" s="115"/>
      <c r="D14" s="116"/>
      <c r="E14" s="116"/>
      <c r="F14" s="116"/>
      <c r="G14" s="117"/>
      <c r="H14" s="119"/>
      <c r="I14" s="119"/>
      <c r="J14" s="119"/>
      <c r="K14" s="119"/>
      <c r="L14" s="119"/>
      <c r="M14" s="119"/>
      <c r="N14" s="119"/>
    </row>
    <row r="15" spans="1:14" ht="29.25" customHeight="1">
      <c r="A15" s="113" t="s">
        <v>23</v>
      </c>
      <c r="B15" s="120" t="s">
        <v>24</v>
      </c>
      <c r="C15" s="115">
        <v>1</v>
      </c>
      <c r="D15" s="116"/>
      <c r="E15" s="116"/>
      <c r="F15" s="116"/>
      <c r="G15" s="117"/>
      <c r="H15" s="119"/>
      <c r="I15" s="119"/>
      <c r="J15" s="119"/>
      <c r="K15" s="119"/>
      <c r="L15" s="119"/>
      <c r="M15" s="119"/>
      <c r="N15" s="119"/>
    </row>
    <row r="16" spans="1:14" ht="14.25">
      <c r="A16" s="130" t="s">
        <v>25</v>
      </c>
      <c r="B16" s="120"/>
      <c r="C16" s="115"/>
      <c r="D16" s="131"/>
      <c r="E16" s="131"/>
      <c r="F16" s="131"/>
      <c r="G16" s="132"/>
      <c r="H16" s="119"/>
      <c r="I16" s="119"/>
      <c r="J16" s="119"/>
      <c r="K16" s="119"/>
      <c r="L16" s="119"/>
      <c r="M16" s="119"/>
      <c r="N16" s="119"/>
    </row>
    <row r="17" spans="1:17" ht="14.25">
      <c r="A17" s="133" t="s">
        <v>26</v>
      </c>
      <c r="B17" s="134"/>
      <c r="C17" s="115"/>
      <c r="D17" s="131"/>
      <c r="E17" s="131"/>
      <c r="F17" s="131"/>
      <c r="G17" s="135"/>
      <c r="H17" s="119"/>
      <c r="I17" s="119"/>
      <c r="J17" s="119"/>
      <c r="K17" s="119"/>
      <c r="L17" s="119"/>
      <c r="M17" s="119"/>
      <c r="N17" s="119"/>
    </row>
    <row r="18" spans="1:17" ht="31.5">
      <c r="A18" s="136" t="s">
        <v>27</v>
      </c>
      <c r="B18" s="114" t="s">
        <v>21</v>
      </c>
      <c r="C18" s="115">
        <v>1</v>
      </c>
      <c r="D18" s="131"/>
      <c r="E18" s="131"/>
      <c r="F18" s="131"/>
      <c r="G18" s="117">
        <v>784.19</v>
      </c>
      <c r="H18" s="173">
        <v>998.81</v>
      </c>
      <c r="I18" s="173">
        <v>1215.0999999999999</v>
      </c>
      <c r="J18" s="173">
        <v>1419.8</v>
      </c>
      <c r="K18" s="290">
        <v>1595</v>
      </c>
      <c r="L18" s="290">
        <v>1788</v>
      </c>
      <c r="M18" s="290">
        <v>2001</v>
      </c>
      <c r="N18" s="290">
        <v>2237</v>
      </c>
      <c r="O18" s="137"/>
      <c r="P18" s="137"/>
      <c r="Q18" s="137"/>
    </row>
    <row r="19" spans="1:17" ht="12.75">
      <c r="A19" s="113" t="s">
        <v>14</v>
      </c>
      <c r="B19" s="120" t="s">
        <v>15</v>
      </c>
      <c r="C19" s="115"/>
      <c r="D19" s="131"/>
      <c r="E19" s="131"/>
      <c r="F19" s="131"/>
      <c r="G19" s="117"/>
      <c r="H19" s="291">
        <f>H18/G18/H20*10000</f>
        <v>163.29277866660385</v>
      </c>
      <c r="I19" s="291">
        <f>I18/H18/I20*10000</f>
        <v>124.77412223109604</v>
      </c>
      <c r="J19" s="291">
        <f>J18/I18/J20*10000</f>
        <v>109.92130770897687</v>
      </c>
      <c r="K19" s="292">
        <f>K18/J18/K20*10000</f>
        <v>106.58421837215228</v>
      </c>
      <c r="L19" s="292">
        <f>L18/K18/L20*10000</f>
        <v>107.27302725322853</v>
      </c>
      <c r="M19" s="292">
        <f t="shared" ref="M19:N19" si="1">M18/L18/M20*10000</f>
        <v>107.29889901999266</v>
      </c>
      <c r="N19" s="292">
        <f t="shared" si="1"/>
        <v>107.39106911481821</v>
      </c>
      <c r="P19" s="167"/>
    </row>
    <row r="20" spans="1:17" ht="12.75">
      <c r="A20" s="113" t="s">
        <v>16</v>
      </c>
      <c r="B20" s="120" t="s">
        <v>15</v>
      </c>
      <c r="C20" s="115"/>
      <c r="D20" s="131"/>
      <c r="E20" s="131"/>
      <c r="F20" s="131"/>
      <c r="G20" s="117"/>
      <c r="H20" s="293">
        <v>78</v>
      </c>
      <c r="I20" s="293">
        <v>97.5</v>
      </c>
      <c r="J20" s="293">
        <v>106.3</v>
      </c>
      <c r="K20" s="294">
        <v>105.4</v>
      </c>
      <c r="L20" s="294">
        <v>104.5</v>
      </c>
      <c r="M20" s="294">
        <v>104.3</v>
      </c>
      <c r="N20" s="294">
        <v>104.1</v>
      </c>
      <c r="Q20" s="137"/>
    </row>
    <row r="21" spans="1:17" ht="14.25">
      <c r="A21" s="130" t="s">
        <v>28</v>
      </c>
      <c r="B21" s="134"/>
      <c r="C21" s="115"/>
      <c r="D21" s="131"/>
      <c r="E21" s="131"/>
      <c r="F21" s="131"/>
      <c r="G21" s="117"/>
      <c r="H21" s="173"/>
      <c r="I21" s="173"/>
      <c r="J21" s="173"/>
      <c r="K21" s="290"/>
      <c r="L21" s="290"/>
      <c r="M21" s="290"/>
      <c r="N21" s="290"/>
    </row>
    <row r="22" spans="1:17" ht="21">
      <c r="A22" s="113" t="s">
        <v>29</v>
      </c>
      <c r="B22" s="120" t="s">
        <v>30</v>
      </c>
      <c r="C22" s="118">
        <f>C26+C27</f>
        <v>2241.13</v>
      </c>
      <c r="D22" s="118">
        <f>D26+D27</f>
        <v>3044.4970000000003</v>
      </c>
      <c r="E22" s="118">
        <f>E26+E27</f>
        <v>3454.9</v>
      </c>
      <c r="F22" s="119">
        <v>3885.7</v>
      </c>
      <c r="G22" s="119">
        <v>4407</v>
      </c>
      <c r="H22" s="173">
        <f>H26+H27</f>
        <v>2241.13</v>
      </c>
      <c r="I22" s="173">
        <f>I26+I27</f>
        <v>3044.4970000000003</v>
      </c>
      <c r="J22" s="173">
        <f>J26+J27</f>
        <v>3454.9</v>
      </c>
      <c r="K22" s="290">
        <v>3885.7</v>
      </c>
      <c r="L22" s="290">
        <v>4407</v>
      </c>
      <c r="M22" s="290">
        <f>M26+M27</f>
        <v>4999</v>
      </c>
      <c r="N22" s="290">
        <f>N26+N27</f>
        <v>5579</v>
      </c>
    </row>
    <row r="23" spans="1:17">
      <c r="A23" s="113" t="s">
        <v>14</v>
      </c>
      <c r="B23" s="120" t="s">
        <v>15</v>
      </c>
      <c r="C23" s="121"/>
      <c r="D23" s="121">
        <f>D22/C22*100/D24*100</f>
        <v>128.39935248368371</v>
      </c>
      <c r="E23" s="139">
        <f>E22/D22/E24*10000</f>
        <v>105.562937493986</v>
      </c>
      <c r="F23" s="138">
        <f>F22/E22/F24*10000</f>
        <v>106.00305992207818</v>
      </c>
      <c r="G23" s="139">
        <f>G22/F22/G24*10000</f>
        <v>106.09528357954846</v>
      </c>
      <c r="H23" s="295"/>
      <c r="I23" s="295">
        <f>I22/H22*100/I24*100</f>
        <v>128.39935248368371</v>
      </c>
      <c r="J23" s="291">
        <f>J22/I22/J24*10000</f>
        <v>105.562937493986</v>
      </c>
      <c r="K23" s="291">
        <f>K22/J22/K24*10000</f>
        <v>106.00305992207818</v>
      </c>
      <c r="L23" s="291">
        <f>L22/K22/L24*10000</f>
        <v>106.09528357954846</v>
      </c>
      <c r="M23" s="291">
        <f>M22/L22/M24*10000</f>
        <v>106.11148222181609</v>
      </c>
      <c r="N23" s="291">
        <f>N22/M22/N24*10000</f>
        <v>106.18679397154408</v>
      </c>
    </row>
    <row r="24" spans="1:17" ht="16.5" customHeight="1">
      <c r="A24" s="113" t="s">
        <v>16</v>
      </c>
      <c r="B24" s="120" t="s">
        <v>15</v>
      </c>
      <c r="C24" s="121">
        <v>109.9</v>
      </c>
      <c r="D24" s="121">
        <v>105.8</v>
      </c>
      <c r="E24" s="121">
        <v>107.5</v>
      </c>
      <c r="F24" s="121">
        <v>106.1</v>
      </c>
      <c r="G24" s="121">
        <v>106.9</v>
      </c>
      <c r="H24" s="295">
        <v>109.9</v>
      </c>
      <c r="I24" s="295">
        <v>105.8</v>
      </c>
      <c r="J24" s="295">
        <v>107.5</v>
      </c>
      <c r="K24" s="295">
        <v>106.1</v>
      </c>
      <c r="L24" s="295">
        <v>106.9</v>
      </c>
      <c r="M24" s="295">
        <v>106.9</v>
      </c>
      <c r="N24" s="295">
        <v>105.1</v>
      </c>
    </row>
    <row r="25" spans="1:17" ht="12.75">
      <c r="A25" s="136" t="s">
        <v>31</v>
      </c>
      <c r="B25" s="120"/>
      <c r="C25" s="141"/>
      <c r="D25" s="141"/>
      <c r="E25" s="141"/>
      <c r="F25" s="141"/>
      <c r="G25" s="141"/>
      <c r="H25" s="296"/>
      <c r="I25" s="296"/>
      <c r="J25" s="296"/>
      <c r="K25" s="296"/>
      <c r="L25" s="296"/>
      <c r="M25" s="296"/>
      <c r="N25" s="296"/>
      <c r="P25" s="142"/>
    </row>
    <row r="26" spans="1:17" ht="12.75">
      <c r="A26" s="143" t="s">
        <v>32</v>
      </c>
      <c r="B26" s="120" t="s">
        <v>30</v>
      </c>
      <c r="C26" s="144">
        <v>1347.52</v>
      </c>
      <c r="D26" s="144">
        <v>1943.3820000000001</v>
      </c>
      <c r="E26" s="144">
        <v>2225.3000000000002</v>
      </c>
      <c r="F26" s="145">
        <v>2502</v>
      </c>
      <c r="G26" s="145">
        <v>2724</v>
      </c>
      <c r="H26" s="297">
        <v>1347.52</v>
      </c>
      <c r="I26" s="297">
        <v>1943.3820000000001</v>
      </c>
      <c r="J26" s="297">
        <v>2225.3000000000002</v>
      </c>
      <c r="K26" s="297">
        <v>2502</v>
      </c>
      <c r="L26" s="297">
        <v>2724</v>
      </c>
      <c r="M26" s="297">
        <v>3196</v>
      </c>
      <c r="N26" s="297">
        <v>3458</v>
      </c>
      <c r="P26" s="142"/>
    </row>
    <row r="27" spans="1:17" ht="12.75">
      <c r="A27" s="143" t="s">
        <v>33</v>
      </c>
      <c r="B27" s="120" t="s">
        <v>30</v>
      </c>
      <c r="C27" s="118">
        <v>893.61</v>
      </c>
      <c r="D27" s="118">
        <v>1101.115</v>
      </c>
      <c r="E27" s="118">
        <v>1229.5999999999999</v>
      </c>
      <c r="F27" s="119">
        <v>1383</v>
      </c>
      <c r="G27" s="119">
        <v>1683</v>
      </c>
      <c r="H27" s="173">
        <v>893.61</v>
      </c>
      <c r="I27" s="173">
        <v>1101.115</v>
      </c>
      <c r="J27" s="173">
        <v>1229.5999999999999</v>
      </c>
      <c r="K27" s="173">
        <v>1383</v>
      </c>
      <c r="L27" s="173">
        <v>1683</v>
      </c>
      <c r="M27" s="173">
        <v>1803</v>
      </c>
      <c r="N27" s="173">
        <v>2121</v>
      </c>
    </row>
    <row r="28" spans="1:17" ht="14.25">
      <c r="A28" s="130" t="s">
        <v>34</v>
      </c>
      <c r="B28" s="134"/>
      <c r="C28" s="115"/>
      <c r="D28" s="131"/>
      <c r="E28" s="131"/>
      <c r="F28" s="131"/>
      <c r="G28" s="117"/>
      <c r="H28" s="173"/>
      <c r="I28" s="173"/>
      <c r="J28" s="173"/>
      <c r="K28" s="173"/>
      <c r="L28" s="173"/>
      <c r="M28" s="173"/>
      <c r="N28" s="173"/>
    </row>
    <row r="29" spans="1:17" ht="14.25">
      <c r="A29" s="130" t="s">
        <v>35</v>
      </c>
      <c r="B29" s="134"/>
      <c r="C29" s="115"/>
      <c r="D29" s="131"/>
      <c r="E29" s="131"/>
      <c r="F29" s="131"/>
      <c r="G29" s="117"/>
      <c r="H29" s="173"/>
      <c r="I29" s="173"/>
      <c r="J29" s="173"/>
      <c r="K29" s="173"/>
      <c r="L29" s="173"/>
      <c r="M29" s="173"/>
      <c r="N29" s="173"/>
    </row>
    <row r="30" spans="1:17" ht="42">
      <c r="A30" s="113" t="s">
        <v>36</v>
      </c>
      <c r="B30" s="114" t="s">
        <v>37</v>
      </c>
      <c r="C30" s="115">
        <v>1</v>
      </c>
      <c r="D30" s="131"/>
      <c r="E30" s="131"/>
      <c r="F30" s="131"/>
      <c r="G30" s="146">
        <v>250.8</v>
      </c>
      <c r="H30" s="173">
        <v>360.4</v>
      </c>
      <c r="I30" s="173">
        <v>360.4</v>
      </c>
      <c r="J30" s="173">
        <v>402.7</v>
      </c>
      <c r="K30" s="173">
        <v>402.7</v>
      </c>
      <c r="L30" s="173">
        <v>402.7</v>
      </c>
      <c r="M30" s="173">
        <v>402.7</v>
      </c>
      <c r="N30" s="173">
        <v>402.7</v>
      </c>
    </row>
    <row r="31" spans="1:17" ht="14.25">
      <c r="A31" s="130" t="s">
        <v>38</v>
      </c>
      <c r="B31" s="120"/>
      <c r="C31" s="115"/>
      <c r="D31" s="131"/>
      <c r="E31" s="131"/>
      <c r="F31" s="131"/>
      <c r="G31" s="117"/>
      <c r="H31" s="173"/>
      <c r="I31" s="173"/>
      <c r="J31" s="173"/>
      <c r="K31" s="173"/>
      <c r="L31" s="173"/>
      <c r="M31" s="173"/>
      <c r="N31" s="173"/>
    </row>
    <row r="32" spans="1:17" ht="12.75">
      <c r="A32" s="148" t="s">
        <v>39</v>
      </c>
      <c r="B32" s="149"/>
      <c r="C32" s="115"/>
      <c r="D32" s="131"/>
      <c r="E32" s="131"/>
      <c r="F32" s="131"/>
      <c r="G32" s="117" t="s">
        <v>40</v>
      </c>
      <c r="H32" s="173" t="s">
        <v>40</v>
      </c>
      <c r="I32" s="173" t="s">
        <v>40</v>
      </c>
      <c r="J32" s="173" t="s">
        <v>40</v>
      </c>
      <c r="K32" s="173"/>
      <c r="L32" s="173" t="s">
        <v>40</v>
      </c>
      <c r="M32" s="173" t="s">
        <v>40</v>
      </c>
      <c r="N32" s="173"/>
    </row>
    <row r="33" spans="1:16" ht="32.25">
      <c r="A33" s="148" t="s">
        <v>41</v>
      </c>
      <c r="B33" s="149" t="s">
        <v>0</v>
      </c>
      <c r="C33" s="115">
        <v>1</v>
      </c>
      <c r="D33" s="131"/>
      <c r="E33" s="131"/>
      <c r="F33" s="131"/>
      <c r="G33" s="117" t="s">
        <v>40</v>
      </c>
      <c r="H33" s="173" t="s">
        <v>40</v>
      </c>
      <c r="I33" s="173"/>
      <c r="J33" s="173" t="s">
        <v>40</v>
      </c>
      <c r="K33" s="173"/>
      <c r="L33" s="173" t="s">
        <v>40</v>
      </c>
      <c r="M33" s="173" t="s">
        <v>40</v>
      </c>
      <c r="N33" s="173"/>
    </row>
    <row r="34" spans="1:16" ht="21.75">
      <c r="A34" s="148" t="s">
        <v>42</v>
      </c>
      <c r="B34" s="149" t="s">
        <v>43</v>
      </c>
      <c r="C34" s="115">
        <v>1</v>
      </c>
      <c r="D34" s="131"/>
      <c r="E34" s="131"/>
      <c r="F34" s="131"/>
      <c r="G34" s="117" t="s">
        <v>40</v>
      </c>
      <c r="H34" s="173" t="s">
        <v>40</v>
      </c>
      <c r="I34" s="173"/>
      <c r="J34" s="173" t="s">
        <v>40</v>
      </c>
      <c r="K34" s="173"/>
      <c r="L34" s="173" t="s">
        <v>40</v>
      </c>
      <c r="M34" s="173" t="s">
        <v>40</v>
      </c>
      <c r="N34" s="173"/>
    </row>
    <row r="35" spans="1:16" ht="12.75">
      <c r="A35" s="148" t="s">
        <v>44</v>
      </c>
      <c r="B35" s="149" t="s">
        <v>0</v>
      </c>
      <c r="C35" s="115">
        <v>1</v>
      </c>
      <c r="D35" s="131"/>
      <c r="E35" s="131"/>
      <c r="F35" s="131"/>
      <c r="G35" s="117">
        <f>11/63080*10000</f>
        <v>1.7438173747622068</v>
      </c>
      <c r="H35" s="173">
        <f>11/H6*10</f>
        <v>1.6709706820598511</v>
      </c>
      <c r="I35" s="173">
        <f t="shared" ref="I35" si="2">11/I6*10</f>
        <v>1.6364177328176139</v>
      </c>
      <c r="J35" s="173">
        <f>11/J6*10</f>
        <v>1.607717041800643</v>
      </c>
      <c r="K35" s="173">
        <f t="shared" ref="K35:N35" si="3">11/K6*10</f>
        <v>1.5777395295467587</v>
      </c>
      <c r="L35" s="173">
        <f t="shared" si="3"/>
        <v>1.5466816647919011</v>
      </c>
      <c r="M35" s="173">
        <f t="shared" si="3"/>
        <v>1.5168229453943738</v>
      </c>
      <c r="N35" s="173">
        <f t="shared" si="3"/>
        <v>1.4901110810078568</v>
      </c>
    </row>
    <row r="36" spans="1:16" ht="14.25">
      <c r="A36" s="130" t="s">
        <v>45</v>
      </c>
      <c r="B36" s="150"/>
      <c r="C36" s="115"/>
      <c r="D36" s="131"/>
      <c r="E36" s="131"/>
      <c r="F36" s="131"/>
      <c r="G36" s="117"/>
      <c r="H36" s="173"/>
      <c r="I36" s="173"/>
      <c r="J36" s="173"/>
      <c r="K36" s="173"/>
      <c r="L36" s="173"/>
      <c r="M36" s="173"/>
      <c r="N36" s="173"/>
    </row>
    <row r="37" spans="1:16" ht="21">
      <c r="A37" s="113" t="s">
        <v>46</v>
      </c>
      <c r="B37" s="120" t="s">
        <v>21</v>
      </c>
      <c r="C37" s="115">
        <v>1</v>
      </c>
      <c r="D37" s="131"/>
      <c r="E37" s="131"/>
      <c r="F37" s="131"/>
      <c r="G37" s="117">
        <v>1412.5</v>
      </c>
      <c r="H37" s="173">
        <f>1692599/1000</f>
        <v>1692.5989999999999</v>
      </c>
      <c r="I37" s="173">
        <v>2010.7</v>
      </c>
      <c r="J37" s="173">
        <f>2227316/1000</f>
        <v>2227.3159999999998</v>
      </c>
      <c r="K37" s="173">
        <v>2441</v>
      </c>
      <c r="L37" s="173">
        <v>2663</v>
      </c>
      <c r="M37" s="173">
        <f>L37+300</f>
        <v>2963</v>
      </c>
      <c r="N37" s="173">
        <f>M37+300</f>
        <v>3263</v>
      </c>
      <c r="O37" s="137"/>
      <c r="P37" s="137"/>
    </row>
    <row r="38" spans="1:16" ht="12.75">
      <c r="A38" s="113" t="s">
        <v>14</v>
      </c>
      <c r="B38" s="120" t="s">
        <v>15</v>
      </c>
      <c r="C38" s="115"/>
      <c r="D38" s="131"/>
      <c r="E38" s="131"/>
      <c r="F38" s="131"/>
      <c r="G38" s="117"/>
      <c r="H38" s="295">
        <f t="shared" ref="H38:J38" si="4">H37/G37*100/H39*100</f>
        <v>111.46978390615352</v>
      </c>
      <c r="I38" s="295">
        <f t="shared" si="4"/>
        <v>108.09248608143665</v>
      </c>
      <c r="J38" s="295">
        <f t="shared" si="4"/>
        <v>100.9782712624197</v>
      </c>
      <c r="K38" s="295">
        <f>K37/J37/K39*10000</f>
        <v>105.48006652222037</v>
      </c>
      <c r="L38" s="295">
        <f t="shared" ref="L38:N38" si="5">L37/K37/L39*10000</f>
        <v>104.6973448627533</v>
      </c>
      <c r="M38" s="295">
        <f t="shared" si="5"/>
        <v>105.46491947755176</v>
      </c>
      <c r="N38" s="295">
        <f t="shared" si="5"/>
        <v>104.58202605800761</v>
      </c>
      <c r="O38" s="137"/>
    </row>
    <row r="39" spans="1:16" ht="12.75">
      <c r="A39" s="113" t="s">
        <v>16</v>
      </c>
      <c r="B39" s="120" t="s">
        <v>15</v>
      </c>
      <c r="C39" s="115"/>
      <c r="D39" s="131"/>
      <c r="E39" s="131"/>
      <c r="F39" s="131"/>
      <c r="G39" s="117"/>
      <c r="H39" s="295">
        <v>107.5</v>
      </c>
      <c r="I39" s="295">
        <v>109.9</v>
      </c>
      <c r="J39" s="295">
        <v>109.7</v>
      </c>
      <c r="K39" s="295">
        <v>103.9</v>
      </c>
      <c r="L39" s="295">
        <v>104.2</v>
      </c>
      <c r="M39" s="295">
        <v>105.5</v>
      </c>
      <c r="N39" s="295">
        <v>105.3</v>
      </c>
    </row>
    <row r="40" spans="1:16" ht="14.25">
      <c r="A40" s="124" t="s">
        <v>47</v>
      </c>
      <c r="B40" s="134"/>
      <c r="C40" s="115"/>
      <c r="D40" s="131"/>
      <c r="E40" s="131"/>
      <c r="F40" s="131"/>
      <c r="G40" s="117"/>
      <c r="H40" s="173"/>
      <c r="I40" s="173"/>
      <c r="J40" s="173"/>
      <c r="K40" s="173"/>
      <c r="L40" s="173"/>
      <c r="M40" s="173"/>
      <c r="N40" s="173"/>
    </row>
    <row r="41" spans="1:16" ht="12.75">
      <c r="A41" s="113" t="s">
        <v>48</v>
      </c>
      <c r="B41" s="120" t="s">
        <v>49</v>
      </c>
      <c r="C41" s="115">
        <v>1</v>
      </c>
      <c r="D41" s="131"/>
      <c r="E41" s="131"/>
      <c r="F41" s="131"/>
      <c r="G41" s="117">
        <v>5372</v>
      </c>
      <c r="H41" s="173">
        <v>2777.4</v>
      </c>
      <c r="I41" s="173">
        <v>3131.9</v>
      </c>
      <c r="J41" s="173">
        <v>3759</v>
      </c>
      <c r="K41" s="173">
        <v>4175</v>
      </c>
      <c r="L41" s="173">
        <v>4629</v>
      </c>
      <c r="M41" s="173">
        <v>5120</v>
      </c>
      <c r="N41" s="173">
        <v>5630</v>
      </c>
    </row>
    <row r="42" spans="1:16" ht="12.75">
      <c r="A42" s="113" t="s">
        <v>14</v>
      </c>
      <c r="B42" s="120" t="s">
        <v>15</v>
      </c>
      <c r="C42" s="115"/>
      <c r="D42" s="131"/>
      <c r="E42" s="131"/>
      <c r="F42" s="131"/>
      <c r="G42" s="117"/>
      <c r="H42" s="295"/>
      <c r="I42" s="295">
        <f t="shared" ref="I42:J42" si="6">I41/H41*100/I43*100</f>
        <v>106.98646666800573</v>
      </c>
      <c r="J42" s="295">
        <f t="shared" si="6"/>
        <v>102.32138895120086</v>
      </c>
      <c r="K42" s="295">
        <f>K41/J41/K43*10000</f>
        <v>103.99510587822684</v>
      </c>
      <c r="L42" s="295">
        <f t="shared" ref="L42:N42" si="7">L41/K41/L43*10000</f>
        <v>104.49976578417153</v>
      </c>
      <c r="M42" s="295">
        <f t="shared" si="7"/>
        <v>105.23981213871348</v>
      </c>
      <c r="N42" s="295">
        <f t="shared" si="7"/>
        <v>105.32656848659003</v>
      </c>
    </row>
    <row r="43" spans="1:16" ht="12.75">
      <c r="A43" s="113" t="s">
        <v>16</v>
      </c>
      <c r="B43" s="120" t="s">
        <v>15</v>
      </c>
      <c r="C43" s="115"/>
      <c r="D43" s="131"/>
      <c r="E43" s="131"/>
      <c r="F43" s="131"/>
      <c r="G43" s="117"/>
      <c r="H43" s="295">
        <v>106.5</v>
      </c>
      <c r="I43" s="295">
        <v>105.4</v>
      </c>
      <c r="J43" s="295">
        <v>117.3</v>
      </c>
      <c r="K43" s="295">
        <v>106.8</v>
      </c>
      <c r="L43" s="295">
        <v>106.1</v>
      </c>
      <c r="M43" s="295">
        <v>105.1</v>
      </c>
      <c r="N43" s="295">
        <v>104.4</v>
      </c>
    </row>
    <row r="44" spans="1:16" ht="28.5">
      <c r="A44" s="124" t="s">
        <v>50</v>
      </c>
      <c r="B44" s="134"/>
      <c r="C44" s="115"/>
      <c r="D44" s="131"/>
      <c r="E44" s="131"/>
      <c r="F44" s="131"/>
      <c r="G44" s="117"/>
      <c r="H44" s="173"/>
      <c r="I44" s="173"/>
      <c r="J44" s="173"/>
      <c r="K44" s="173">
        <f>K41/K6</f>
        <v>59.882386689615608</v>
      </c>
      <c r="L44" s="173">
        <f>L41/L6</f>
        <v>65.087176602924629</v>
      </c>
      <c r="M44" s="173"/>
      <c r="N44" s="173"/>
    </row>
    <row r="45" spans="1:16" ht="12.75">
      <c r="A45" s="151" t="s">
        <v>51</v>
      </c>
      <c r="B45" s="120" t="s">
        <v>52</v>
      </c>
      <c r="C45" s="115">
        <v>1</v>
      </c>
      <c r="D45" s="131"/>
      <c r="E45" s="131"/>
      <c r="F45" s="131"/>
      <c r="G45" s="117" t="s">
        <v>40</v>
      </c>
      <c r="H45" s="173" t="s">
        <v>40</v>
      </c>
      <c r="I45" s="173"/>
      <c r="J45" s="173" t="s">
        <v>40</v>
      </c>
      <c r="K45" s="173"/>
      <c r="L45" s="173" t="s">
        <v>40</v>
      </c>
      <c r="M45" s="173" t="s">
        <v>40</v>
      </c>
      <c r="N45" s="173" t="s">
        <v>40</v>
      </c>
    </row>
    <row r="46" spans="1:16" ht="12.75">
      <c r="A46" s="151" t="s">
        <v>53</v>
      </c>
      <c r="B46" s="120" t="s">
        <v>52</v>
      </c>
      <c r="C46" s="115">
        <v>1</v>
      </c>
      <c r="D46" s="131"/>
      <c r="E46" s="131"/>
      <c r="F46" s="131"/>
      <c r="G46" s="117" t="s">
        <v>40</v>
      </c>
      <c r="H46" s="173" t="s">
        <v>40</v>
      </c>
      <c r="I46" s="173"/>
      <c r="J46" s="173" t="s">
        <v>40</v>
      </c>
      <c r="K46" s="173"/>
      <c r="L46" s="173" t="s">
        <v>40</v>
      </c>
      <c r="M46" s="173" t="s">
        <v>40</v>
      </c>
      <c r="N46" s="173" t="s">
        <v>40</v>
      </c>
    </row>
    <row r="47" spans="1:16" ht="28.5">
      <c r="A47" s="152" t="s">
        <v>54</v>
      </c>
      <c r="B47" s="153"/>
      <c r="C47" s="154"/>
      <c r="D47" s="155"/>
      <c r="E47" s="155"/>
      <c r="F47" s="155"/>
      <c r="G47" s="117"/>
      <c r="H47" s="173"/>
      <c r="I47" s="173"/>
      <c r="J47" s="173"/>
      <c r="K47" s="173"/>
      <c r="L47" s="173"/>
      <c r="M47" s="173"/>
      <c r="N47" s="173"/>
    </row>
    <row r="48" spans="1:16" ht="12.75">
      <c r="A48" s="156" t="s">
        <v>55</v>
      </c>
      <c r="B48" s="157" t="s">
        <v>0</v>
      </c>
      <c r="C48" s="154"/>
      <c r="D48" s="155"/>
      <c r="E48" s="155"/>
      <c r="F48" s="155"/>
      <c r="G48" s="117" t="s">
        <v>40</v>
      </c>
      <c r="H48" s="173">
        <v>3</v>
      </c>
      <c r="I48" s="173">
        <v>3</v>
      </c>
      <c r="J48" s="173" t="s">
        <v>40</v>
      </c>
      <c r="K48" s="173" t="s">
        <v>40</v>
      </c>
      <c r="L48" s="173" t="s">
        <v>40</v>
      </c>
      <c r="M48" s="173" t="s">
        <v>40</v>
      </c>
      <c r="N48" s="173" t="s">
        <v>40</v>
      </c>
    </row>
    <row r="49" spans="1:15" ht="21">
      <c r="A49" s="158" t="s">
        <v>56</v>
      </c>
      <c r="B49" s="157"/>
      <c r="C49" s="154"/>
      <c r="D49" s="155"/>
      <c r="E49" s="155"/>
      <c r="F49" s="155"/>
      <c r="G49" s="117" t="s">
        <v>40</v>
      </c>
      <c r="H49" s="173"/>
      <c r="I49" s="298"/>
      <c r="J49" s="173" t="s">
        <v>40</v>
      </c>
      <c r="K49" s="173"/>
      <c r="L49" s="173" t="s">
        <v>40</v>
      </c>
      <c r="M49" s="173"/>
      <c r="N49" s="173"/>
    </row>
    <row r="50" spans="1:15" ht="12.75">
      <c r="A50" s="159" t="s">
        <v>57</v>
      </c>
      <c r="B50" s="157" t="s">
        <v>0</v>
      </c>
      <c r="C50" s="154"/>
      <c r="D50" s="155"/>
      <c r="E50" s="155"/>
      <c r="F50" s="155"/>
      <c r="G50" s="117" t="s">
        <v>40</v>
      </c>
      <c r="H50" s="173">
        <v>1</v>
      </c>
      <c r="I50" s="173">
        <v>1</v>
      </c>
      <c r="J50" s="173" t="s">
        <v>40</v>
      </c>
      <c r="K50" s="173"/>
      <c r="L50" s="173" t="s">
        <v>40</v>
      </c>
      <c r="M50" s="173"/>
      <c r="N50" s="173"/>
    </row>
    <row r="51" spans="1:15" ht="12.75">
      <c r="A51" s="159" t="s">
        <v>58</v>
      </c>
      <c r="B51" s="157" t="s">
        <v>0</v>
      </c>
      <c r="C51" s="154"/>
      <c r="D51" s="155"/>
      <c r="E51" s="155"/>
      <c r="F51" s="155"/>
      <c r="G51" s="117" t="s">
        <v>40</v>
      </c>
      <c r="H51" s="173" t="s">
        <v>40</v>
      </c>
      <c r="I51" s="173"/>
      <c r="J51" s="173" t="s">
        <v>40</v>
      </c>
      <c r="K51" s="173"/>
      <c r="L51" s="173" t="s">
        <v>40</v>
      </c>
      <c r="M51" s="173" t="s">
        <v>40</v>
      </c>
      <c r="N51" s="173"/>
    </row>
    <row r="52" spans="1:15" ht="21">
      <c r="A52" s="159" t="s">
        <v>59</v>
      </c>
      <c r="B52" s="157" t="s">
        <v>0</v>
      </c>
      <c r="C52" s="154"/>
      <c r="D52" s="155"/>
      <c r="E52" s="155"/>
      <c r="F52" s="155"/>
      <c r="G52" s="117" t="s">
        <v>40</v>
      </c>
      <c r="H52" s="173" t="s">
        <v>40</v>
      </c>
      <c r="I52" s="173"/>
      <c r="J52" s="173" t="s">
        <v>40</v>
      </c>
      <c r="K52" s="173"/>
      <c r="L52" s="173" t="s">
        <v>40</v>
      </c>
      <c r="M52" s="173" t="s">
        <v>40</v>
      </c>
      <c r="N52" s="173"/>
    </row>
    <row r="53" spans="1:15" ht="12.75">
      <c r="A53" s="159" t="s">
        <v>60</v>
      </c>
      <c r="B53" s="157" t="s">
        <v>0</v>
      </c>
      <c r="C53" s="154"/>
      <c r="D53" s="155"/>
      <c r="E53" s="155"/>
      <c r="F53" s="155"/>
      <c r="G53" s="117" t="s">
        <v>40</v>
      </c>
      <c r="H53" s="173" t="s">
        <v>40</v>
      </c>
      <c r="I53" s="173"/>
      <c r="J53" s="173" t="s">
        <v>40</v>
      </c>
      <c r="K53" s="173"/>
      <c r="L53" s="173" t="s">
        <v>40</v>
      </c>
      <c r="M53" s="173" t="s">
        <v>40</v>
      </c>
      <c r="N53" s="173"/>
    </row>
    <row r="54" spans="1:15" ht="31.5">
      <c r="A54" s="159" t="s">
        <v>61</v>
      </c>
      <c r="B54" s="157" t="s">
        <v>0</v>
      </c>
      <c r="C54" s="154"/>
      <c r="D54" s="155"/>
      <c r="E54" s="155"/>
      <c r="F54" s="155"/>
      <c r="G54" s="117" t="s">
        <v>40</v>
      </c>
      <c r="H54" s="173" t="s">
        <v>40</v>
      </c>
      <c r="I54" s="173"/>
      <c r="J54" s="173" t="s">
        <v>40</v>
      </c>
      <c r="K54" s="173"/>
      <c r="L54" s="173" t="s">
        <v>40</v>
      </c>
      <c r="M54" s="173" t="s">
        <v>40</v>
      </c>
      <c r="N54" s="173"/>
    </row>
    <row r="55" spans="1:15" ht="12.75">
      <c r="A55" s="159" t="s">
        <v>62</v>
      </c>
      <c r="B55" s="157" t="s">
        <v>0</v>
      </c>
      <c r="C55" s="154"/>
      <c r="D55" s="155"/>
      <c r="E55" s="155"/>
      <c r="F55" s="155"/>
      <c r="G55" s="117" t="s">
        <v>40</v>
      </c>
      <c r="H55" s="173" t="s">
        <v>40</v>
      </c>
      <c r="I55" s="173"/>
      <c r="J55" s="173" t="s">
        <v>40</v>
      </c>
      <c r="K55" s="173"/>
      <c r="L55" s="173" t="s">
        <v>40</v>
      </c>
      <c r="M55" s="173" t="s">
        <v>40</v>
      </c>
      <c r="N55" s="173"/>
    </row>
    <row r="56" spans="1:15" ht="21">
      <c r="A56" s="159" t="s">
        <v>63</v>
      </c>
      <c r="B56" s="157" t="s">
        <v>0</v>
      </c>
      <c r="C56" s="154"/>
      <c r="D56" s="155"/>
      <c r="E56" s="155"/>
      <c r="F56" s="155"/>
      <c r="G56" s="117" t="s">
        <v>40</v>
      </c>
      <c r="H56" s="173" t="s">
        <v>40</v>
      </c>
      <c r="I56" s="173"/>
      <c r="J56" s="173" t="s">
        <v>40</v>
      </c>
      <c r="K56" s="173"/>
      <c r="L56" s="173" t="s">
        <v>40</v>
      </c>
      <c r="M56" s="173" t="s">
        <v>40</v>
      </c>
      <c r="N56" s="173"/>
    </row>
    <row r="57" spans="1:15" ht="12.75">
      <c r="A57" s="159" t="s">
        <v>64</v>
      </c>
      <c r="B57" s="157" t="s">
        <v>0</v>
      </c>
      <c r="C57" s="154"/>
      <c r="D57" s="155"/>
      <c r="E57" s="155"/>
      <c r="F57" s="155"/>
      <c r="G57" s="117" t="s">
        <v>40</v>
      </c>
      <c r="H57" s="173" t="s">
        <v>40</v>
      </c>
      <c r="I57" s="173"/>
      <c r="J57" s="173" t="s">
        <v>40</v>
      </c>
      <c r="K57" s="173"/>
      <c r="L57" s="173" t="s">
        <v>40</v>
      </c>
      <c r="M57" s="173" t="s">
        <v>40</v>
      </c>
      <c r="N57" s="173"/>
      <c r="O57" s="160"/>
    </row>
    <row r="58" spans="1:15" ht="21">
      <c r="A58" s="156" t="s">
        <v>65</v>
      </c>
      <c r="B58" s="157" t="s">
        <v>0</v>
      </c>
      <c r="C58" s="115">
        <v>1</v>
      </c>
      <c r="D58" s="131"/>
      <c r="E58" s="131"/>
      <c r="F58" s="131"/>
      <c r="G58" s="161">
        <v>361</v>
      </c>
      <c r="H58" s="173">
        <f>H60+H61+H62+H63+H64+H65+H66+H67+H68+H69</f>
        <v>304</v>
      </c>
      <c r="I58" s="173">
        <f>I60+I61+I62+I63+I64+I65+I66+I67+I68+I69</f>
        <v>285</v>
      </c>
      <c r="J58" s="173">
        <f>J60+J61+J62+J63+J64+J65+J66+J67+J68+J69</f>
        <v>215</v>
      </c>
      <c r="K58" s="173">
        <f>K60+K61+K62+K63+K64+K65+K66+K67+K68+K69</f>
        <v>216</v>
      </c>
      <c r="L58" s="173">
        <f t="shared" ref="L58:N58" si="8">L60+L61+L62+L63+L64+L65+L66+L67+L68+L69</f>
        <v>229</v>
      </c>
      <c r="M58" s="173">
        <f t="shared" si="8"/>
        <v>232</v>
      </c>
      <c r="N58" s="173">
        <f t="shared" si="8"/>
        <v>235</v>
      </c>
      <c r="O58" s="160"/>
    </row>
    <row r="59" spans="1:15" ht="21">
      <c r="A59" s="158" t="s">
        <v>56</v>
      </c>
      <c r="B59" s="157"/>
      <c r="C59" s="115"/>
      <c r="D59" s="131"/>
      <c r="E59" s="131"/>
      <c r="F59" s="131"/>
      <c r="G59" s="161"/>
      <c r="H59" s="173"/>
      <c r="I59" s="173"/>
      <c r="J59" s="173"/>
      <c r="K59" s="173"/>
      <c r="L59" s="173"/>
      <c r="M59" s="173"/>
      <c r="N59" s="173"/>
      <c r="O59" s="160"/>
    </row>
    <row r="60" spans="1:15" ht="12.75">
      <c r="A60" s="159" t="s">
        <v>57</v>
      </c>
      <c r="B60" s="157" t="s">
        <v>0</v>
      </c>
      <c r="C60" s="115"/>
      <c r="D60" s="131"/>
      <c r="E60" s="131"/>
      <c r="F60" s="131"/>
      <c r="G60" s="161">
        <v>5</v>
      </c>
      <c r="H60" s="173">
        <v>11</v>
      </c>
      <c r="I60" s="173">
        <v>8</v>
      </c>
      <c r="J60" s="173">
        <v>8</v>
      </c>
      <c r="K60" s="173">
        <v>8</v>
      </c>
      <c r="L60" s="173">
        <v>8</v>
      </c>
      <c r="M60" s="173">
        <v>8</v>
      </c>
      <c r="N60" s="173">
        <v>8</v>
      </c>
    </row>
    <row r="61" spans="1:15" ht="12.75">
      <c r="A61" s="159" t="s">
        <v>58</v>
      </c>
      <c r="B61" s="157" t="s">
        <v>0</v>
      </c>
      <c r="C61" s="115"/>
      <c r="D61" s="131"/>
      <c r="E61" s="131"/>
      <c r="F61" s="131"/>
      <c r="G61" s="161"/>
      <c r="H61" s="173"/>
      <c r="I61" s="173">
        <v>3</v>
      </c>
      <c r="J61" s="173">
        <v>3</v>
      </c>
      <c r="K61" s="173">
        <v>3</v>
      </c>
      <c r="L61" s="173">
        <v>3</v>
      </c>
      <c r="M61" s="173">
        <v>3</v>
      </c>
      <c r="N61" s="173">
        <v>3</v>
      </c>
    </row>
    <row r="62" spans="1:15" ht="21">
      <c r="A62" s="159" t="s">
        <v>59</v>
      </c>
      <c r="B62" s="157" t="s">
        <v>0</v>
      </c>
      <c r="C62" s="115">
        <v>1</v>
      </c>
      <c r="D62" s="131"/>
      <c r="E62" s="131"/>
      <c r="F62" s="131"/>
      <c r="G62" s="161">
        <v>5</v>
      </c>
      <c r="H62" s="173">
        <v>5</v>
      </c>
      <c r="I62" s="173">
        <v>5</v>
      </c>
      <c r="J62" s="173">
        <v>4</v>
      </c>
      <c r="K62" s="173">
        <v>5</v>
      </c>
      <c r="L62" s="173">
        <v>5</v>
      </c>
      <c r="M62" s="173">
        <v>5</v>
      </c>
      <c r="N62" s="173">
        <v>5</v>
      </c>
    </row>
    <row r="63" spans="1:15" ht="12.75">
      <c r="A63" s="159" t="s">
        <v>60</v>
      </c>
      <c r="B63" s="125"/>
      <c r="C63" s="115">
        <v>1</v>
      </c>
      <c r="D63" s="131"/>
      <c r="E63" s="131"/>
      <c r="F63" s="131"/>
      <c r="G63" s="161">
        <v>30</v>
      </c>
      <c r="H63" s="173">
        <v>26</v>
      </c>
      <c r="I63" s="173">
        <v>23</v>
      </c>
      <c r="J63" s="173">
        <v>20</v>
      </c>
      <c r="K63" s="173">
        <v>20</v>
      </c>
      <c r="L63" s="173">
        <v>20</v>
      </c>
      <c r="M63" s="173">
        <v>20</v>
      </c>
      <c r="N63" s="173">
        <v>20</v>
      </c>
    </row>
    <row r="64" spans="1:15" ht="12.75">
      <c r="A64" s="159" t="s">
        <v>66</v>
      </c>
      <c r="B64" s="157" t="s">
        <v>0</v>
      </c>
      <c r="C64" s="115"/>
      <c r="D64" s="131"/>
      <c r="E64" s="131"/>
      <c r="F64" s="131"/>
      <c r="G64" s="161"/>
      <c r="H64" s="173">
        <v>56</v>
      </c>
      <c r="I64" s="173">
        <v>54</v>
      </c>
      <c r="J64" s="173">
        <v>52</v>
      </c>
      <c r="K64" s="173">
        <v>52</v>
      </c>
      <c r="L64" s="173">
        <v>52</v>
      </c>
      <c r="M64" s="173">
        <v>52</v>
      </c>
      <c r="N64" s="173">
        <v>52</v>
      </c>
    </row>
    <row r="65" spans="1:14" ht="31.5">
      <c r="A65" s="159" t="s">
        <v>61</v>
      </c>
      <c r="B65" s="157" t="s">
        <v>0</v>
      </c>
      <c r="C65" s="115"/>
      <c r="D65" s="131"/>
      <c r="E65" s="131"/>
      <c r="F65" s="131"/>
      <c r="G65" s="161">
        <v>120</v>
      </c>
      <c r="H65" s="173">
        <v>69</v>
      </c>
      <c r="I65" s="173">
        <v>66</v>
      </c>
      <c r="J65" s="173">
        <v>65</v>
      </c>
      <c r="K65" s="173">
        <v>65</v>
      </c>
      <c r="L65" s="173">
        <v>65</v>
      </c>
      <c r="M65" s="173">
        <v>65</v>
      </c>
      <c r="N65" s="173">
        <v>65</v>
      </c>
    </row>
    <row r="66" spans="1:14" ht="12.75">
      <c r="A66" s="159" t="s">
        <v>62</v>
      </c>
      <c r="B66" s="157" t="s">
        <v>0</v>
      </c>
      <c r="C66" s="115">
        <v>1</v>
      </c>
      <c r="D66" s="131"/>
      <c r="E66" s="131"/>
      <c r="F66" s="131"/>
      <c r="G66" s="161">
        <v>1</v>
      </c>
      <c r="H66" s="173">
        <v>1</v>
      </c>
      <c r="I66" s="173">
        <v>1</v>
      </c>
      <c r="J66" s="173">
        <v>1</v>
      </c>
      <c r="K66" s="173">
        <v>1</v>
      </c>
      <c r="L66" s="173">
        <v>1</v>
      </c>
      <c r="M66" s="173">
        <v>1</v>
      </c>
      <c r="N66" s="173">
        <v>1</v>
      </c>
    </row>
    <row r="67" spans="1:14" ht="21">
      <c r="A67" s="159" t="s">
        <v>63</v>
      </c>
      <c r="B67" s="157" t="s">
        <v>0</v>
      </c>
      <c r="C67" s="115">
        <v>1</v>
      </c>
      <c r="D67" s="131"/>
      <c r="E67" s="131"/>
      <c r="F67" s="131"/>
      <c r="G67" s="161"/>
      <c r="H67" s="173"/>
      <c r="I67" s="173"/>
      <c r="J67" s="173"/>
      <c r="K67" s="173"/>
      <c r="L67" s="173"/>
      <c r="M67" s="173"/>
      <c r="N67" s="173"/>
    </row>
    <row r="68" spans="1:14" ht="12.75">
      <c r="A68" s="159" t="s">
        <v>64</v>
      </c>
      <c r="B68" s="157" t="s">
        <v>0</v>
      </c>
      <c r="C68" s="115">
        <v>1</v>
      </c>
      <c r="D68" s="131"/>
      <c r="E68" s="131"/>
      <c r="F68" s="131"/>
      <c r="G68" s="161"/>
      <c r="H68" s="173"/>
      <c r="I68" s="173"/>
      <c r="J68" s="173"/>
      <c r="K68" s="173"/>
      <c r="L68" s="173"/>
      <c r="M68" s="173"/>
      <c r="N68" s="173"/>
    </row>
    <row r="69" spans="1:14" ht="12.75">
      <c r="A69" s="159" t="s">
        <v>67</v>
      </c>
      <c r="B69" s="157"/>
      <c r="C69" s="115"/>
      <c r="D69" s="131"/>
      <c r="E69" s="131"/>
      <c r="F69" s="131"/>
      <c r="G69" s="161">
        <f>G58-G60-G61-G62-G63-G65-G66</f>
        <v>200</v>
      </c>
      <c r="H69" s="173">
        <v>136</v>
      </c>
      <c r="I69" s="173">
        <v>125</v>
      </c>
      <c r="J69" s="173">
        <v>62</v>
      </c>
      <c r="K69" s="173">
        <v>62</v>
      </c>
      <c r="L69" s="173">
        <v>75</v>
      </c>
      <c r="M69" s="173">
        <v>78</v>
      </c>
      <c r="N69" s="173">
        <v>81</v>
      </c>
    </row>
    <row r="70" spans="1:14" ht="32.25" customHeight="1">
      <c r="A70" s="156" t="s">
        <v>68</v>
      </c>
      <c r="B70" s="157" t="s">
        <v>13</v>
      </c>
      <c r="C70" s="115">
        <v>1</v>
      </c>
      <c r="D70" s="131"/>
      <c r="E70" s="131"/>
      <c r="F70" s="131"/>
      <c r="G70" s="117">
        <v>1291</v>
      </c>
      <c r="H70" s="173">
        <f>1.08+2.16</f>
        <v>3.24</v>
      </c>
      <c r="I70" s="173">
        <f>1.054+2.419</f>
        <v>3.4729999999999999</v>
      </c>
      <c r="J70" s="173">
        <v>3.488</v>
      </c>
      <c r="K70" s="173">
        <v>3.5</v>
      </c>
      <c r="L70" s="173">
        <v>3.5</v>
      </c>
      <c r="M70" s="173">
        <v>3.5</v>
      </c>
      <c r="N70" s="173">
        <v>3.5</v>
      </c>
    </row>
    <row r="71" spans="1:14" ht="12.75">
      <c r="A71" s="156" t="s">
        <v>69</v>
      </c>
      <c r="B71" s="157" t="s">
        <v>21</v>
      </c>
      <c r="C71" s="115"/>
      <c r="D71" s="131"/>
      <c r="E71" s="131"/>
      <c r="F71" s="131"/>
      <c r="G71" s="117" t="s">
        <v>40</v>
      </c>
      <c r="H71" s="173">
        <v>2</v>
      </c>
      <c r="I71" s="173">
        <v>2.4</v>
      </c>
      <c r="J71" s="173">
        <v>4.2</v>
      </c>
      <c r="K71" s="173">
        <v>4.3499999999999996</v>
      </c>
      <c r="L71" s="173">
        <f>K71*1.05</f>
        <v>4.5674999999999999</v>
      </c>
      <c r="M71" s="173">
        <f t="shared" ref="M71:N71" si="9">L71*1.05</f>
        <v>4.7958749999999997</v>
      </c>
      <c r="N71" s="173">
        <f t="shared" si="9"/>
        <v>5.0356687500000001</v>
      </c>
    </row>
    <row r="72" spans="1:14" ht="12.75">
      <c r="A72" s="158" t="s">
        <v>70</v>
      </c>
      <c r="B72" s="157"/>
      <c r="C72" s="115"/>
      <c r="D72" s="131"/>
      <c r="E72" s="131"/>
      <c r="F72" s="131"/>
      <c r="G72" s="117" t="s">
        <v>40</v>
      </c>
      <c r="H72" s="173"/>
      <c r="I72" s="173" t="s">
        <v>40</v>
      </c>
      <c r="J72" s="173" t="s">
        <v>40</v>
      </c>
      <c r="K72" s="173" t="s">
        <v>40</v>
      </c>
      <c r="L72" s="173" t="s">
        <v>40</v>
      </c>
      <c r="M72" s="173" t="s">
        <v>40</v>
      </c>
      <c r="N72" s="173" t="s">
        <v>40</v>
      </c>
    </row>
    <row r="73" spans="1:14" ht="12.75">
      <c r="A73" s="159" t="s">
        <v>57</v>
      </c>
      <c r="B73" s="157" t="s">
        <v>21</v>
      </c>
      <c r="C73" s="115"/>
      <c r="D73" s="131"/>
      <c r="E73" s="131"/>
      <c r="F73" s="131"/>
      <c r="G73" s="117" t="s">
        <v>40</v>
      </c>
      <c r="H73" s="173" t="s">
        <v>40</v>
      </c>
      <c r="I73" s="173" t="s">
        <v>40</v>
      </c>
      <c r="J73" s="173" t="s">
        <v>40</v>
      </c>
      <c r="K73" s="173" t="s">
        <v>40</v>
      </c>
      <c r="L73" s="173" t="s">
        <v>40</v>
      </c>
      <c r="M73" s="173" t="s">
        <v>40</v>
      </c>
      <c r="N73" s="173" t="s">
        <v>40</v>
      </c>
    </row>
    <row r="74" spans="1:14" ht="12.75">
      <c r="A74" s="159" t="s">
        <v>58</v>
      </c>
      <c r="B74" s="157" t="s">
        <v>21</v>
      </c>
      <c r="C74" s="115"/>
      <c r="D74" s="131"/>
      <c r="E74" s="131"/>
      <c r="F74" s="131"/>
      <c r="G74" s="117" t="s">
        <v>40</v>
      </c>
      <c r="H74" s="173" t="s">
        <v>40</v>
      </c>
      <c r="I74" s="173" t="s">
        <v>40</v>
      </c>
      <c r="J74" s="173" t="s">
        <v>40</v>
      </c>
      <c r="K74" s="173" t="s">
        <v>40</v>
      </c>
      <c r="L74" s="173" t="s">
        <v>40</v>
      </c>
      <c r="M74" s="173" t="s">
        <v>40</v>
      </c>
      <c r="N74" s="173" t="s">
        <v>40</v>
      </c>
    </row>
    <row r="75" spans="1:14" ht="21">
      <c r="A75" s="159" t="s">
        <v>59</v>
      </c>
      <c r="B75" s="157" t="s">
        <v>21</v>
      </c>
      <c r="C75" s="115"/>
      <c r="D75" s="131"/>
      <c r="E75" s="131"/>
      <c r="F75" s="131"/>
      <c r="G75" s="117" t="s">
        <v>40</v>
      </c>
      <c r="H75" s="173" t="s">
        <v>40</v>
      </c>
      <c r="I75" s="173" t="s">
        <v>40</v>
      </c>
      <c r="J75" s="173" t="s">
        <v>40</v>
      </c>
      <c r="K75" s="173" t="s">
        <v>40</v>
      </c>
      <c r="L75" s="173" t="s">
        <v>40</v>
      </c>
      <c r="M75" s="173" t="s">
        <v>40</v>
      </c>
      <c r="N75" s="173" t="s">
        <v>40</v>
      </c>
    </row>
    <row r="76" spans="1:14" ht="12.75">
      <c r="A76" s="159" t="s">
        <v>60</v>
      </c>
      <c r="B76" s="157" t="s">
        <v>21</v>
      </c>
      <c r="C76" s="115"/>
      <c r="D76" s="131"/>
      <c r="E76" s="131"/>
      <c r="F76" s="131"/>
      <c r="G76" s="117" t="s">
        <v>40</v>
      </c>
      <c r="H76" s="173" t="s">
        <v>40</v>
      </c>
      <c r="I76" s="173" t="s">
        <v>40</v>
      </c>
      <c r="J76" s="173" t="s">
        <v>40</v>
      </c>
      <c r="K76" s="173" t="s">
        <v>40</v>
      </c>
      <c r="L76" s="173" t="s">
        <v>40</v>
      </c>
      <c r="M76" s="173" t="s">
        <v>40</v>
      </c>
      <c r="N76" s="173" t="s">
        <v>40</v>
      </c>
    </row>
    <row r="77" spans="1:14" ht="31.5">
      <c r="A77" s="159" t="s">
        <v>61</v>
      </c>
      <c r="B77" s="157" t="s">
        <v>21</v>
      </c>
      <c r="C77" s="115"/>
      <c r="D77" s="131"/>
      <c r="E77" s="131"/>
      <c r="F77" s="131"/>
      <c r="G77" s="117" t="s">
        <v>40</v>
      </c>
      <c r="H77" s="173" t="s">
        <v>40</v>
      </c>
      <c r="I77" s="173" t="s">
        <v>40</v>
      </c>
      <c r="J77" s="173" t="s">
        <v>40</v>
      </c>
      <c r="K77" s="173" t="s">
        <v>40</v>
      </c>
      <c r="L77" s="173" t="s">
        <v>40</v>
      </c>
      <c r="M77" s="173" t="s">
        <v>40</v>
      </c>
      <c r="N77" s="173" t="s">
        <v>40</v>
      </c>
    </row>
    <row r="78" spans="1:14" ht="12.75">
      <c r="A78" s="159" t="s">
        <v>62</v>
      </c>
      <c r="B78" s="157" t="s">
        <v>21</v>
      </c>
      <c r="C78" s="115"/>
      <c r="D78" s="131"/>
      <c r="E78" s="131"/>
      <c r="F78" s="131"/>
      <c r="G78" s="117" t="s">
        <v>40</v>
      </c>
      <c r="H78" s="173" t="s">
        <v>40</v>
      </c>
      <c r="I78" s="173" t="s">
        <v>40</v>
      </c>
      <c r="J78" s="173" t="s">
        <v>40</v>
      </c>
      <c r="K78" s="173"/>
      <c r="L78" s="173" t="s">
        <v>40</v>
      </c>
      <c r="M78" s="173"/>
      <c r="N78" s="173"/>
    </row>
    <row r="79" spans="1:14" ht="21">
      <c r="A79" s="159" t="s">
        <v>71</v>
      </c>
      <c r="B79" s="157" t="s">
        <v>21</v>
      </c>
      <c r="C79" s="115"/>
      <c r="D79" s="131"/>
      <c r="E79" s="131"/>
      <c r="F79" s="131"/>
      <c r="G79" s="117" t="s">
        <v>40</v>
      </c>
      <c r="H79" s="173" t="s">
        <v>40</v>
      </c>
      <c r="I79" s="173" t="s">
        <v>40</v>
      </c>
      <c r="J79" s="173" t="s">
        <v>40</v>
      </c>
      <c r="K79" s="173"/>
      <c r="L79" s="173" t="s">
        <v>40</v>
      </c>
      <c r="M79" s="173"/>
      <c r="N79" s="173"/>
    </row>
    <row r="80" spans="1:14" ht="12.75">
      <c r="A80" s="163" t="s">
        <v>31</v>
      </c>
      <c r="B80" s="157"/>
      <c r="C80" s="115"/>
      <c r="D80" s="131"/>
      <c r="E80" s="131"/>
      <c r="F80" s="131"/>
      <c r="G80" s="117" t="s">
        <v>40</v>
      </c>
      <c r="H80" s="173" t="s">
        <v>40</v>
      </c>
      <c r="I80" s="173" t="s">
        <v>40</v>
      </c>
      <c r="J80" s="173" t="s">
        <v>40</v>
      </c>
      <c r="K80" s="173"/>
      <c r="L80" s="173" t="s">
        <v>40</v>
      </c>
      <c r="M80" s="173"/>
      <c r="N80" s="173"/>
    </row>
    <row r="81" spans="1:16" ht="12.75">
      <c r="A81" s="159" t="s">
        <v>72</v>
      </c>
      <c r="B81" s="157" t="s">
        <v>21</v>
      </c>
      <c r="C81" s="115"/>
      <c r="D81" s="131"/>
      <c r="E81" s="131"/>
      <c r="F81" s="131"/>
      <c r="G81" s="117" t="s">
        <v>40</v>
      </c>
      <c r="H81" s="173" t="s">
        <v>40</v>
      </c>
      <c r="I81" s="173" t="s">
        <v>40</v>
      </c>
      <c r="J81" s="173" t="s">
        <v>40</v>
      </c>
      <c r="K81" s="173"/>
      <c r="L81" s="173" t="s">
        <v>40</v>
      </c>
      <c r="M81" s="173"/>
      <c r="N81" s="173"/>
    </row>
    <row r="82" spans="1:16" ht="35.25" customHeight="1">
      <c r="A82" s="156" t="s">
        <v>73</v>
      </c>
      <c r="B82" s="157" t="s">
        <v>21</v>
      </c>
      <c r="C82" s="115"/>
      <c r="D82" s="131"/>
      <c r="E82" s="131"/>
      <c r="F82" s="131"/>
      <c r="G82" s="117" t="e">
        <f>G84+G85+G86+G87+G88+G90+#REF!+#REF!</f>
        <v>#REF!</v>
      </c>
      <c r="H82" s="173">
        <v>1891.9</v>
      </c>
      <c r="I82" s="173">
        <v>2411.59</v>
      </c>
      <c r="J82" s="173">
        <v>2713.37</v>
      </c>
      <c r="K82" s="173">
        <v>3042.7</v>
      </c>
      <c r="L82" s="173">
        <f>K82*1.05</f>
        <v>3194.835</v>
      </c>
      <c r="M82" s="173">
        <f>L82*1.05</f>
        <v>3354.5767500000002</v>
      </c>
      <c r="N82" s="298">
        <f>M82*1.05</f>
        <v>3522.3055875000005</v>
      </c>
      <c r="O82" s="167"/>
      <c r="P82" s="167"/>
    </row>
    <row r="83" spans="1:16" ht="14.25" customHeight="1">
      <c r="A83" s="158" t="s">
        <v>70</v>
      </c>
      <c r="B83" s="157"/>
      <c r="C83" s="115"/>
      <c r="D83" s="131"/>
      <c r="E83" s="131"/>
      <c r="F83" s="131"/>
      <c r="G83" s="117"/>
      <c r="H83" s="173"/>
      <c r="I83" s="173"/>
      <c r="J83" s="173"/>
      <c r="K83" s="173"/>
      <c r="L83" s="173"/>
      <c r="M83" s="173"/>
      <c r="N83" s="173"/>
    </row>
    <row r="84" spans="1:16" ht="14.25" customHeight="1">
      <c r="A84" s="159" t="s">
        <v>57</v>
      </c>
      <c r="B84" s="157" t="s">
        <v>21</v>
      </c>
      <c r="C84" s="115"/>
      <c r="D84" s="131"/>
      <c r="E84" s="131"/>
      <c r="F84" s="131"/>
      <c r="G84" s="146">
        <v>155.63999999999999</v>
      </c>
      <c r="H84" s="173">
        <v>341.1</v>
      </c>
      <c r="I84" s="173">
        <v>331.4</v>
      </c>
      <c r="J84" s="173">
        <v>448.1</v>
      </c>
      <c r="K84" s="173">
        <f>J84*1.05</f>
        <v>470.50500000000005</v>
      </c>
      <c r="L84" s="173">
        <f>K84*1.05</f>
        <v>494.03025000000008</v>
      </c>
      <c r="M84" s="173">
        <f>L84*1.05</f>
        <v>518.73176250000006</v>
      </c>
      <c r="N84" s="173">
        <f>M84*1.05</f>
        <v>544.66835062500013</v>
      </c>
    </row>
    <row r="85" spans="1:16" ht="14.25" customHeight="1">
      <c r="A85" s="159" t="s">
        <v>58</v>
      </c>
      <c r="B85" s="157" t="s">
        <v>21</v>
      </c>
      <c r="C85" s="115"/>
      <c r="D85" s="131"/>
      <c r="E85" s="131"/>
      <c r="F85" s="131"/>
      <c r="G85" s="117">
        <v>31.25</v>
      </c>
      <c r="H85" s="173">
        <v>218.4</v>
      </c>
      <c r="I85" s="173">
        <v>407</v>
      </c>
      <c r="J85" s="173">
        <v>412.51</v>
      </c>
      <c r="K85" s="173">
        <f t="shared" ref="K85:N90" si="10">J85*1.05</f>
        <v>433.13550000000004</v>
      </c>
      <c r="L85" s="173">
        <f t="shared" si="10"/>
        <v>454.79227500000007</v>
      </c>
      <c r="M85" s="173">
        <f t="shared" si="10"/>
        <v>477.53188875000012</v>
      </c>
      <c r="N85" s="173">
        <f t="shared" si="10"/>
        <v>501.40848318750017</v>
      </c>
      <c r="O85" s="167"/>
    </row>
    <row r="86" spans="1:16" ht="14.25" customHeight="1">
      <c r="A86" s="159" t="s">
        <v>59</v>
      </c>
      <c r="B86" s="157" t="s">
        <v>21</v>
      </c>
      <c r="C86" s="115"/>
      <c r="D86" s="131"/>
      <c r="E86" s="131"/>
      <c r="F86" s="131"/>
      <c r="G86" s="117">
        <v>517.47</v>
      </c>
      <c r="H86" s="173">
        <v>164.95</v>
      </c>
      <c r="I86" s="173">
        <v>477.16</v>
      </c>
      <c r="J86" s="173">
        <v>494.89</v>
      </c>
      <c r="K86" s="173">
        <f t="shared" si="10"/>
        <v>519.6345</v>
      </c>
      <c r="L86" s="173">
        <f t="shared" si="10"/>
        <v>545.61622499999999</v>
      </c>
      <c r="M86" s="173">
        <f t="shared" si="10"/>
        <v>572.89703625000004</v>
      </c>
      <c r="N86" s="173">
        <f t="shared" si="10"/>
        <v>601.54188806250011</v>
      </c>
    </row>
    <row r="87" spans="1:16" ht="14.25" customHeight="1">
      <c r="A87" s="159" t="s">
        <v>60</v>
      </c>
      <c r="B87" s="157" t="s">
        <v>21</v>
      </c>
      <c r="C87" s="115"/>
      <c r="D87" s="131"/>
      <c r="E87" s="131"/>
      <c r="F87" s="131"/>
      <c r="G87" s="117">
        <v>593.11</v>
      </c>
      <c r="H87" s="173">
        <v>370.04</v>
      </c>
      <c r="I87" s="173">
        <v>512.73</v>
      </c>
      <c r="J87" s="173">
        <v>528.11</v>
      </c>
      <c r="K87" s="173">
        <f t="shared" si="10"/>
        <v>554.51550000000009</v>
      </c>
      <c r="L87" s="173">
        <f t="shared" si="10"/>
        <v>582.24127500000009</v>
      </c>
      <c r="M87" s="173">
        <f t="shared" si="10"/>
        <v>611.35333875000015</v>
      </c>
      <c r="N87" s="173">
        <f t="shared" si="10"/>
        <v>641.92100568750016</v>
      </c>
    </row>
    <row r="88" spans="1:16" ht="35.25" customHeight="1">
      <c r="A88" s="159" t="s">
        <v>61</v>
      </c>
      <c r="B88" s="157" t="s">
        <v>21</v>
      </c>
      <c r="C88" s="115"/>
      <c r="D88" s="131"/>
      <c r="E88" s="131"/>
      <c r="F88" s="131"/>
      <c r="G88" s="117">
        <v>239.35</v>
      </c>
      <c r="H88" s="173">
        <f>185.56+0.25</f>
        <v>185.81</v>
      </c>
      <c r="I88" s="173">
        <v>98.62</v>
      </c>
      <c r="J88" s="173">
        <v>101.57</v>
      </c>
      <c r="K88" s="173">
        <f t="shared" si="10"/>
        <v>106.6485</v>
      </c>
      <c r="L88" s="173">
        <f t="shared" si="10"/>
        <v>111.980925</v>
      </c>
      <c r="M88" s="173">
        <f t="shared" si="10"/>
        <v>117.57997125</v>
      </c>
      <c r="N88" s="173">
        <f t="shared" si="10"/>
        <v>123.4589698125</v>
      </c>
    </row>
    <row r="89" spans="1:16" ht="20.25" customHeight="1">
      <c r="A89" s="159" t="s">
        <v>74</v>
      </c>
      <c r="B89" s="157"/>
      <c r="C89" s="115"/>
      <c r="D89" s="131"/>
      <c r="E89" s="131"/>
      <c r="F89" s="131"/>
      <c r="G89" s="117"/>
      <c r="H89" s="173">
        <v>184.88</v>
      </c>
      <c r="I89" s="173">
        <v>166.36</v>
      </c>
      <c r="J89" s="173">
        <v>235.23</v>
      </c>
      <c r="K89" s="173">
        <f t="shared" si="10"/>
        <v>246.9915</v>
      </c>
      <c r="L89" s="173">
        <f t="shared" si="10"/>
        <v>259.34107499999999</v>
      </c>
      <c r="M89" s="173">
        <f t="shared" si="10"/>
        <v>272.30812874999998</v>
      </c>
      <c r="N89" s="173">
        <f t="shared" si="10"/>
        <v>285.92353518749997</v>
      </c>
    </row>
    <row r="90" spans="1:16" ht="23.25" customHeight="1">
      <c r="A90" s="159" t="s">
        <v>62</v>
      </c>
      <c r="B90" s="157" t="s">
        <v>21</v>
      </c>
      <c r="C90" s="115"/>
      <c r="D90" s="131"/>
      <c r="E90" s="131"/>
      <c r="F90" s="131"/>
      <c r="G90" s="117">
        <f>20/1000</f>
        <v>0.02</v>
      </c>
      <c r="H90" s="173">
        <v>0.05</v>
      </c>
      <c r="I90" s="173">
        <v>0.05</v>
      </c>
      <c r="J90" s="173">
        <v>0.05</v>
      </c>
      <c r="K90" s="173">
        <f t="shared" si="10"/>
        <v>5.2500000000000005E-2</v>
      </c>
      <c r="L90" s="173">
        <f t="shared" si="10"/>
        <v>5.5125000000000007E-2</v>
      </c>
      <c r="M90" s="173">
        <f t="shared" si="10"/>
        <v>5.7881250000000009E-2</v>
      </c>
      <c r="N90" s="173">
        <f t="shared" si="10"/>
        <v>6.0775312500000012E-2</v>
      </c>
    </row>
    <row r="91" spans="1:16" ht="23.25" customHeight="1">
      <c r="A91" s="159" t="s">
        <v>71</v>
      </c>
      <c r="B91" s="157" t="s">
        <v>21</v>
      </c>
      <c r="C91" s="115"/>
      <c r="D91" s="131"/>
      <c r="E91" s="131"/>
      <c r="F91" s="131"/>
      <c r="G91" s="117" t="s">
        <v>40</v>
      </c>
      <c r="H91" s="173" t="s">
        <v>40</v>
      </c>
      <c r="I91" s="173" t="s">
        <v>40</v>
      </c>
      <c r="J91" s="173" t="s">
        <v>40</v>
      </c>
      <c r="K91" s="173"/>
      <c r="L91" s="173" t="s">
        <v>40</v>
      </c>
      <c r="M91" s="173" t="s">
        <v>40</v>
      </c>
      <c r="N91" s="173"/>
    </row>
    <row r="92" spans="1:16" ht="35.25" customHeight="1">
      <c r="A92" s="124" t="s">
        <v>75</v>
      </c>
      <c r="B92" s="114"/>
      <c r="C92" s="115"/>
      <c r="D92" s="131"/>
      <c r="E92" s="131"/>
      <c r="F92" s="131"/>
      <c r="G92" s="117"/>
      <c r="H92" s="173"/>
      <c r="I92" s="173"/>
      <c r="J92" s="299">
        <v>3858.1</v>
      </c>
      <c r="K92" s="299">
        <v>4216</v>
      </c>
      <c r="L92" s="299">
        <v>4301.1000000000004</v>
      </c>
      <c r="M92" s="299">
        <v>4563</v>
      </c>
      <c r="N92" s="299">
        <v>4745.5</v>
      </c>
    </row>
    <row r="93" spans="1:16" ht="21">
      <c r="A93" s="164" t="s">
        <v>76</v>
      </c>
      <c r="B93" s="165" t="s">
        <v>21</v>
      </c>
      <c r="C93" s="115">
        <v>1</v>
      </c>
      <c r="D93" s="131"/>
      <c r="E93" s="131"/>
      <c r="F93" s="131"/>
      <c r="G93" s="117">
        <v>5135.8</v>
      </c>
      <c r="H93" s="173">
        <v>1736.25</v>
      </c>
      <c r="I93" s="173">
        <v>3356.31</v>
      </c>
      <c r="J93" s="173">
        <v>3858.1</v>
      </c>
      <c r="K93" s="173">
        <v>4216</v>
      </c>
      <c r="L93" s="173">
        <v>4582</v>
      </c>
      <c r="M93" s="173">
        <v>5002</v>
      </c>
      <c r="N93" s="173">
        <v>5465</v>
      </c>
    </row>
    <row r="94" spans="1:16" ht="12.75">
      <c r="A94" s="113" t="s">
        <v>14</v>
      </c>
      <c r="B94" s="120" t="s">
        <v>15</v>
      </c>
      <c r="C94" s="115"/>
      <c r="D94" s="131"/>
      <c r="E94" s="131"/>
      <c r="F94" s="131"/>
      <c r="G94" s="117"/>
      <c r="H94" s="295">
        <f>H93/G93*100/H95*100</f>
        <v>31.624702636723356</v>
      </c>
      <c r="I94" s="295">
        <f t="shared" ref="I94" si="11">I93/H93*100/I95*100</f>
        <v>179.98881877159323</v>
      </c>
      <c r="J94" s="295">
        <f>J93/I93/J95*10000</f>
        <v>102.72622448848824</v>
      </c>
      <c r="K94" s="295">
        <f t="shared" ref="K94:N94" si="12">K93/J93/K95*10000</f>
        <v>103.09111973681443</v>
      </c>
      <c r="L94" s="295">
        <f t="shared" si="12"/>
        <v>103.50591849643084</v>
      </c>
      <c r="M94" s="295">
        <f t="shared" si="12"/>
        <v>104.46536165022691</v>
      </c>
      <c r="N94" s="295">
        <f t="shared" si="12"/>
        <v>104.85249278407639</v>
      </c>
    </row>
    <row r="95" spans="1:16" ht="12.75">
      <c r="A95" s="113" t="s">
        <v>16</v>
      </c>
      <c r="B95" s="120" t="s">
        <v>15</v>
      </c>
      <c r="C95" s="115"/>
      <c r="D95" s="131"/>
      <c r="E95" s="131"/>
      <c r="F95" s="131"/>
      <c r="G95" s="117"/>
      <c r="H95" s="295">
        <v>106.9</v>
      </c>
      <c r="I95" s="295">
        <v>107.4</v>
      </c>
      <c r="J95" s="295">
        <v>111.9</v>
      </c>
      <c r="K95" s="295">
        <v>106</v>
      </c>
      <c r="L95" s="295">
        <v>105</v>
      </c>
      <c r="M95" s="295">
        <v>104.5</v>
      </c>
      <c r="N95" s="295">
        <v>104.2</v>
      </c>
    </row>
    <row r="96" spans="1:16" ht="14.25">
      <c r="A96" s="124" t="s">
        <v>92</v>
      </c>
      <c r="B96" s="114"/>
      <c r="C96" s="115"/>
      <c r="D96" s="131"/>
      <c r="E96" s="131"/>
      <c r="F96" s="131"/>
      <c r="G96" s="117"/>
      <c r="H96" s="173"/>
      <c r="I96" s="173"/>
      <c r="J96" s="173"/>
      <c r="K96" s="173"/>
      <c r="L96" s="173"/>
      <c r="M96" s="173"/>
      <c r="N96" s="173"/>
    </row>
    <row r="97" spans="1:17" ht="12.75">
      <c r="A97" s="113" t="s">
        <v>93</v>
      </c>
      <c r="B97" s="114" t="s">
        <v>94</v>
      </c>
      <c r="C97" s="115">
        <v>1</v>
      </c>
      <c r="D97" s="131"/>
      <c r="E97" s="131"/>
      <c r="F97" s="131"/>
      <c r="G97" s="117">
        <v>110</v>
      </c>
      <c r="H97" s="173">
        <v>178.2</v>
      </c>
      <c r="I97" s="173">
        <v>152.19999999999999</v>
      </c>
      <c r="J97" s="173">
        <v>184.5</v>
      </c>
      <c r="K97" s="173">
        <v>164</v>
      </c>
      <c r="L97" s="173">
        <f>K97*1.01</f>
        <v>165.64000000000001</v>
      </c>
      <c r="M97" s="173">
        <f t="shared" ref="M97:N98" si="13">L97*1.01</f>
        <v>167.29640000000001</v>
      </c>
      <c r="N97" s="173">
        <f t="shared" si="13"/>
        <v>168.96936400000001</v>
      </c>
    </row>
    <row r="98" spans="1:17" ht="12.75">
      <c r="A98" s="113" t="s">
        <v>95</v>
      </c>
      <c r="B98" s="114" t="s">
        <v>94</v>
      </c>
      <c r="C98" s="115">
        <v>1</v>
      </c>
      <c r="D98" s="131"/>
      <c r="E98" s="131"/>
      <c r="F98" s="131"/>
      <c r="G98" s="117">
        <v>438</v>
      </c>
      <c r="H98" s="173">
        <v>972.9</v>
      </c>
      <c r="I98" s="173">
        <v>1669.2</v>
      </c>
      <c r="J98" s="173">
        <v>948.9</v>
      </c>
      <c r="K98" s="173">
        <v>957</v>
      </c>
      <c r="L98" s="173">
        <f>K98*1.01</f>
        <v>966.57</v>
      </c>
      <c r="M98" s="173">
        <f t="shared" si="13"/>
        <v>976.23570000000007</v>
      </c>
      <c r="N98" s="173">
        <f t="shared" si="13"/>
        <v>985.99805700000013</v>
      </c>
    </row>
    <row r="99" spans="1:17" ht="22.5">
      <c r="A99" s="113" t="s">
        <v>96</v>
      </c>
      <c r="B99" s="170" t="s">
        <v>97</v>
      </c>
      <c r="C99" s="115">
        <v>1</v>
      </c>
      <c r="D99" s="131"/>
      <c r="E99" s="131"/>
      <c r="F99" s="131"/>
      <c r="G99" s="117">
        <v>18.04</v>
      </c>
      <c r="H99" s="173">
        <v>20.6</v>
      </c>
      <c r="I99" s="173">
        <v>34.97</v>
      </c>
      <c r="J99" s="173">
        <v>13.9</v>
      </c>
      <c r="K99" s="173">
        <v>22.04</v>
      </c>
      <c r="L99" s="173">
        <v>20.6</v>
      </c>
      <c r="M99" s="173">
        <v>20.6</v>
      </c>
      <c r="N99" s="173">
        <v>20.6</v>
      </c>
    </row>
    <row r="100" spans="1:17" ht="14.25">
      <c r="A100" s="171" t="s">
        <v>98</v>
      </c>
      <c r="B100" s="114"/>
      <c r="C100" s="115"/>
      <c r="D100" s="131"/>
      <c r="E100" s="131"/>
      <c r="F100" s="131"/>
      <c r="G100" s="117"/>
      <c r="H100" s="173"/>
      <c r="I100" s="173"/>
      <c r="J100" s="173"/>
      <c r="K100" s="173"/>
      <c r="L100" s="173"/>
      <c r="M100" s="173"/>
      <c r="N100" s="173"/>
    </row>
    <row r="101" spans="1:17" ht="12.75">
      <c r="A101" s="172" t="s">
        <v>99</v>
      </c>
      <c r="B101" s="114" t="s">
        <v>94</v>
      </c>
      <c r="C101" s="115"/>
      <c r="D101" s="131"/>
      <c r="E101" s="131"/>
      <c r="F101" s="131"/>
      <c r="G101" s="117">
        <v>597.36099999999999</v>
      </c>
      <c r="H101" s="173">
        <f t="shared" ref="H101:N101" si="14">H102+H118+H123</f>
        <v>758.60540000000003</v>
      </c>
      <c r="I101" s="173">
        <f t="shared" si="14"/>
        <v>805.01209999999992</v>
      </c>
      <c r="J101" s="173">
        <f t="shared" si="14"/>
        <v>734.56050000000005</v>
      </c>
      <c r="K101" s="173">
        <f>K102+K118+K123</f>
        <v>660.41500000000008</v>
      </c>
      <c r="L101" s="173">
        <f>L102+L118+L123</f>
        <v>685.45</v>
      </c>
      <c r="M101" s="173">
        <f>M102+M118+M123</f>
        <v>706.673</v>
      </c>
      <c r="N101" s="173">
        <f t="shared" si="14"/>
        <v>709.07299999999998</v>
      </c>
      <c r="O101" s="167"/>
    </row>
    <row r="102" spans="1:17" ht="12.75">
      <c r="A102" s="113" t="s">
        <v>100</v>
      </c>
      <c r="B102" s="114" t="s">
        <v>94</v>
      </c>
      <c r="C102" s="115">
        <v>1</v>
      </c>
      <c r="D102" s="131"/>
      <c r="E102" s="131"/>
      <c r="F102" s="131"/>
      <c r="G102" s="117">
        <v>45.615000000000002</v>
      </c>
      <c r="H102" s="173">
        <f>H104+H105+H111+H117</f>
        <v>43.401000000000003</v>
      </c>
      <c r="I102" s="173">
        <f>I104+I105+I111+I117</f>
        <v>92.16</v>
      </c>
      <c r="J102" s="173">
        <f>J104+J105+J111+J117+J110</f>
        <v>85.5</v>
      </c>
      <c r="K102" s="173">
        <f t="shared" ref="K102:N102" si="15">K104+K105+K111+K117+K110</f>
        <v>88.61</v>
      </c>
      <c r="L102" s="173">
        <f t="shared" si="15"/>
        <v>89.76</v>
      </c>
      <c r="M102" s="173">
        <f t="shared" si="15"/>
        <v>91.75</v>
      </c>
      <c r="N102" s="173">
        <f t="shared" si="15"/>
        <v>94.05</v>
      </c>
      <c r="O102" s="137"/>
      <c r="P102" s="137"/>
      <c r="Q102" s="167"/>
    </row>
    <row r="103" spans="1:17" ht="12.75">
      <c r="A103" s="113" t="s">
        <v>101</v>
      </c>
      <c r="B103" s="114" t="s">
        <v>94</v>
      </c>
      <c r="C103" s="115">
        <v>1</v>
      </c>
      <c r="D103" s="131"/>
      <c r="E103" s="131"/>
      <c r="F103" s="131"/>
      <c r="G103" s="117">
        <v>26.427</v>
      </c>
      <c r="H103" s="173"/>
      <c r="I103" s="173"/>
      <c r="J103" s="173"/>
      <c r="K103" s="173"/>
      <c r="L103" s="173"/>
      <c r="M103" s="173"/>
      <c r="N103" s="173"/>
    </row>
    <row r="104" spans="1:17" ht="12.75">
      <c r="A104" s="113" t="s">
        <v>102</v>
      </c>
      <c r="B104" s="114" t="s">
        <v>94</v>
      </c>
      <c r="C104" s="115">
        <v>1</v>
      </c>
      <c r="D104" s="131"/>
      <c r="E104" s="131"/>
      <c r="F104" s="131"/>
      <c r="G104" s="117">
        <v>26.427</v>
      </c>
      <c r="H104" s="173">
        <v>30.425999999999998</v>
      </c>
      <c r="I104" s="173">
        <v>54.1</v>
      </c>
      <c r="J104" s="173">
        <v>49.85</v>
      </c>
      <c r="K104" s="173">
        <v>52</v>
      </c>
      <c r="L104" s="173">
        <v>52.6</v>
      </c>
      <c r="M104" s="173">
        <v>53</v>
      </c>
      <c r="N104" s="173">
        <v>54</v>
      </c>
    </row>
    <row r="105" spans="1:17" ht="12.75">
      <c r="A105" s="113" t="s">
        <v>103</v>
      </c>
      <c r="B105" s="114" t="s">
        <v>94</v>
      </c>
      <c r="C105" s="115">
        <v>1</v>
      </c>
      <c r="D105" s="131"/>
      <c r="E105" s="131"/>
      <c r="F105" s="131"/>
      <c r="G105" s="117">
        <v>7.6130000000000004</v>
      </c>
      <c r="H105" s="173">
        <f>H106+H108</f>
        <v>10.61</v>
      </c>
      <c r="I105" s="173">
        <v>14.65</v>
      </c>
      <c r="J105" s="173">
        <v>14.29</v>
      </c>
      <c r="K105" s="173">
        <f>K106+K108</f>
        <v>12.57</v>
      </c>
      <c r="L105" s="173">
        <v>12.57</v>
      </c>
      <c r="M105" s="173">
        <f>M106+M108</f>
        <v>13.5</v>
      </c>
      <c r="N105" s="173">
        <f>N106+N108</f>
        <v>14.8</v>
      </c>
      <c r="O105" s="167"/>
    </row>
    <row r="106" spans="1:17" ht="12.75">
      <c r="A106" s="113" t="s">
        <v>104</v>
      </c>
      <c r="B106" s="114" t="s">
        <v>94</v>
      </c>
      <c r="C106" s="115"/>
      <c r="D106" s="131"/>
      <c r="E106" s="131"/>
      <c r="F106" s="131"/>
      <c r="G106" s="117">
        <v>1.7030000000000001</v>
      </c>
      <c r="H106" s="173">
        <v>3.85</v>
      </c>
      <c r="I106" s="173">
        <v>4.17</v>
      </c>
      <c r="J106" s="173">
        <v>5.01</v>
      </c>
      <c r="K106" s="173">
        <v>4.3</v>
      </c>
      <c r="L106" s="173">
        <v>4.3</v>
      </c>
      <c r="M106" s="173">
        <v>4.3</v>
      </c>
      <c r="N106" s="173">
        <v>4.3</v>
      </c>
    </row>
    <row r="107" spans="1:17" ht="12.75">
      <c r="A107" s="113" t="s">
        <v>105</v>
      </c>
      <c r="B107" s="114" t="s">
        <v>94</v>
      </c>
      <c r="C107" s="115">
        <v>1</v>
      </c>
      <c r="D107" s="131"/>
      <c r="E107" s="131"/>
      <c r="F107" s="131"/>
      <c r="G107" s="117">
        <v>1.01</v>
      </c>
      <c r="H107" s="173"/>
      <c r="I107" s="173"/>
      <c r="J107" s="173"/>
      <c r="K107" s="173"/>
      <c r="L107" s="173"/>
      <c r="M107" s="173"/>
      <c r="N107" s="173"/>
    </row>
    <row r="108" spans="1:17" ht="12.75">
      <c r="A108" s="113" t="s">
        <v>106</v>
      </c>
      <c r="B108" s="114" t="s">
        <v>94</v>
      </c>
      <c r="C108" s="115"/>
      <c r="D108" s="131"/>
      <c r="E108" s="131"/>
      <c r="F108" s="131"/>
      <c r="G108" s="117">
        <v>4.9000000000000004</v>
      </c>
      <c r="H108" s="173">
        <v>6.76</v>
      </c>
      <c r="I108" s="173">
        <v>10.48</v>
      </c>
      <c r="J108" s="173">
        <v>9.2799999999999994</v>
      </c>
      <c r="K108" s="173">
        <v>8.27</v>
      </c>
      <c r="L108" s="173">
        <v>8.9</v>
      </c>
      <c r="M108" s="173">
        <v>9.1999999999999993</v>
      </c>
      <c r="N108" s="173">
        <v>10.5</v>
      </c>
    </row>
    <row r="109" spans="1:17" ht="21">
      <c r="A109" s="113" t="s">
        <v>107</v>
      </c>
      <c r="B109" s="114" t="s">
        <v>94</v>
      </c>
      <c r="C109" s="115">
        <v>1</v>
      </c>
      <c r="D109" s="131"/>
      <c r="E109" s="131"/>
      <c r="F109" s="131"/>
      <c r="G109" s="117"/>
      <c r="H109" s="173"/>
      <c r="I109" s="173"/>
      <c r="J109" s="173"/>
      <c r="K109" s="173"/>
      <c r="L109" s="173"/>
      <c r="M109" s="173"/>
      <c r="N109" s="173"/>
    </row>
    <row r="110" spans="1:17" ht="21">
      <c r="A110" s="113" t="s">
        <v>108</v>
      </c>
      <c r="B110" s="114" t="s">
        <v>94</v>
      </c>
      <c r="C110" s="115">
        <v>1</v>
      </c>
      <c r="D110" s="131"/>
      <c r="E110" s="131"/>
      <c r="F110" s="131"/>
      <c r="G110" s="117"/>
      <c r="H110" s="173"/>
      <c r="I110" s="173">
        <v>19</v>
      </c>
      <c r="J110" s="173">
        <v>15.56</v>
      </c>
      <c r="K110" s="173">
        <v>12.5</v>
      </c>
      <c r="L110" s="173">
        <v>12</v>
      </c>
      <c r="M110" s="173">
        <v>12</v>
      </c>
      <c r="N110" s="173">
        <v>12</v>
      </c>
    </row>
    <row r="111" spans="1:17" ht="12.75">
      <c r="A111" s="113" t="s">
        <v>109</v>
      </c>
      <c r="B111" s="114" t="s">
        <v>94</v>
      </c>
      <c r="C111" s="115">
        <v>1</v>
      </c>
      <c r="D111" s="131"/>
      <c r="E111" s="131"/>
      <c r="F111" s="131"/>
      <c r="G111" s="117">
        <v>7.032</v>
      </c>
      <c r="H111" s="173">
        <f>H112+H114</f>
        <v>1.7430000000000001</v>
      </c>
      <c r="I111" s="173">
        <f>I112+I114</f>
        <v>2.3199999999999998</v>
      </c>
      <c r="J111" s="173">
        <f>J112+J114</f>
        <v>3.36</v>
      </c>
      <c r="K111" s="173">
        <f>K112+K113+K114</f>
        <v>9.3899999999999988</v>
      </c>
      <c r="L111" s="173">
        <f t="shared" ref="L111:N111" si="16">L112+L113+L114</f>
        <v>10.44</v>
      </c>
      <c r="M111" s="173">
        <f t="shared" si="16"/>
        <v>11.1</v>
      </c>
      <c r="N111" s="173">
        <f t="shared" si="16"/>
        <v>11.1</v>
      </c>
    </row>
    <row r="112" spans="1:17" ht="21">
      <c r="A112" s="113" t="s">
        <v>110</v>
      </c>
      <c r="B112" s="114" t="s">
        <v>94</v>
      </c>
      <c r="C112" s="115">
        <v>1</v>
      </c>
      <c r="D112" s="131"/>
      <c r="E112" s="131"/>
      <c r="F112" s="131"/>
      <c r="G112" s="117">
        <v>1.6759999999999999</v>
      </c>
      <c r="H112" s="173">
        <v>1.4470000000000001</v>
      </c>
      <c r="I112" s="173">
        <v>1.99</v>
      </c>
      <c r="J112" s="173">
        <v>2.88</v>
      </c>
      <c r="K112" s="173">
        <v>2.29</v>
      </c>
      <c r="L112" s="173">
        <v>2.4</v>
      </c>
      <c r="M112" s="173">
        <v>2.4</v>
      </c>
      <c r="N112" s="173">
        <v>2.4</v>
      </c>
    </row>
    <row r="113" spans="1:16" ht="21">
      <c r="A113" s="113" t="s">
        <v>111</v>
      </c>
      <c r="B113" s="114" t="s">
        <v>94</v>
      </c>
      <c r="C113" s="115">
        <v>1</v>
      </c>
      <c r="D113" s="131"/>
      <c r="E113" s="131"/>
      <c r="F113" s="131"/>
      <c r="G113" s="117">
        <v>4.2990000000000004</v>
      </c>
      <c r="H113" s="173"/>
      <c r="I113" s="173"/>
      <c r="J113" s="173"/>
      <c r="K113" s="173">
        <v>6.66</v>
      </c>
      <c r="L113" s="173">
        <v>7.6</v>
      </c>
      <c r="M113" s="173">
        <v>8.5</v>
      </c>
      <c r="N113" s="173">
        <v>8.5</v>
      </c>
    </row>
    <row r="114" spans="1:16" ht="12.75">
      <c r="A114" s="113" t="s">
        <v>112</v>
      </c>
      <c r="B114" s="114" t="s">
        <v>94</v>
      </c>
      <c r="C114" s="115"/>
      <c r="D114" s="131"/>
      <c r="E114" s="131"/>
      <c r="F114" s="131"/>
      <c r="G114" s="117">
        <v>1.0569999999999999</v>
      </c>
      <c r="H114" s="173">
        <v>0.29599999999999999</v>
      </c>
      <c r="I114" s="173">
        <v>0.33</v>
      </c>
      <c r="J114" s="173">
        <v>0.48</v>
      </c>
      <c r="K114" s="173">
        <v>0.44</v>
      </c>
      <c r="L114" s="173">
        <v>0.44</v>
      </c>
      <c r="M114" s="173">
        <v>0.2</v>
      </c>
      <c r="N114" s="173">
        <v>0.2</v>
      </c>
      <c r="P114" s="167"/>
    </row>
    <row r="115" spans="1:16" ht="21">
      <c r="A115" s="113" t="s">
        <v>113</v>
      </c>
      <c r="B115" s="114" t="s">
        <v>94</v>
      </c>
      <c r="C115" s="115">
        <v>1</v>
      </c>
      <c r="D115" s="131"/>
      <c r="E115" s="131"/>
      <c r="F115" s="131"/>
      <c r="G115" s="117">
        <v>0.124</v>
      </c>
      <c r="H115" s="173"/>
      <c r="I115" s="173"/>
      <c r="J115" s="173"/>
      <c r="K115" s="173"/>
      <c r="L115" s="173"/>
      <c r="M115" s="173"/>
      <c r="N115" s="173"/>
    </row>
    <row r="116" spans="1:16" ht="12.75">
      <c r="A116" s="113" t="s">
        <v>114</v>
      </c>
      <c r="B116" s="114" t="s">
        <v>94</v>
      </c>
      <c r="C116" s="115">
        <v>1</v>
      </c>
      <c r="D116" s="131"/>
      <c r="E116" s="131"/>
      <c r="F116" s="131"/>
      <c r="G116" s="117"/>
      <c r="H116" s="173"/>
      <c r="I116" s="173"/>
      <c r="J116" s="173"/>
      <c r="K116" s="173"/>
      <c r="L116" s="173"/>
      <c r="M116" s="173"/>
      <c r="N116" s="173"/>
    </row>
    <row r="117" spans="1:16" ht="12.75">
      <c r="A117" s="113" t="s">
        <v>115</v>
      </c>
      <c r="B117" s="114" t="s">
        <v>94</v>
      </c>
      <c r="C117" s="115">
        <v>1</v>
      </c>
      <c r="D117" s="131"/>
      <c r="E117" s="131"/>
      <c r="F117" s="131"/>
      <c r="G117" s="117">
        <v>4.4189999999999996</v>
      </c>
      <c r="H117" s="173">
        <v>0.622</v>
      </c>
      <c r="I117" s="173">
        <v>21.09</v>
      </c>
      <c r="J117" s="173">
        <f>18-J110</f>
        <v>2.4399999999999995</v>
      </c>
      <c r="K117" s="173">
        <v>2.15</v>
      </c>
      <c r="L117" s="173">
        <v>2.15</v>
      </c>
      <c r="M117" s="173">
        <v>2.15</v>
      </c>
      <c r="N117" s="173">
        <v>2.15</v>
      </c>
      <c r="O117" s="167"/>
    </row>
    <row r="118" spans="1:16" ht="12.75">
      <c r="A118" s="172" t="s">
        <v>116</v>
      </c>
      <c r="B118" s="114" t="s">
        <v>94</v>
      </c>
      <c r="C118" s="115">
        <v>1</v>
      </c>
      <c r="D118" s="131"/>
      <c r="E118" s="131"/>
      <c r="F118" s="131"/>
      <c r="G118" s="117">
        <v>8.8320000000000007</v>
      </c>
      <c r="H118" s="173">
        <f>H119+H121+H122</f>
        <v>21.402699999999999</v>
      </c>
      <c r="I118" s="173">
        <f>I119+I121+I122</f>
        <v>18.6921</v>
      </c>
      <c r="J118" s="173">
        <f>J119+J122</f>
        <v>15.665500000000002</v>
      </c>
      <c r="K118" s="173">
        <f>K119+K122</f>
        <v>11.385</v>
      </c>
      <c r="L118" s="173">
        <f>L119+L122</f>
        <v>11.99</v>
      </c>
      <c r="M118" s="173">
        <f t="shared" ref="M118:N118" si="17">M119+M122</f>
        <v>12.09</v>
      </c>
      <c r="N118" s="173">
        <f t="shared" si="17"/>
        <v>12.190000000000001</v>
      </c>
      <c r="O118" s="167"/>
      <c r="P118" s="137"/>
    </row>
    <row r="119" spans="1:16" ht="21">
      <c r="A119" s="113" t="s">
        <v>117</v>
      </c>
      <c r="B119" s="114" t="s">
        <v>94</v>
      </c>
      <c r="C119" s="115">
        <v>1</v>
      </c>
      <c r="D119" s="131"/>
      <c r="E119" s="131"/>
      <c r="F119" s="131"/>
      <c r="G119" s="117">
        <v>2.8450000000000002</v>
      </c>
      <c r="H119" s="173">
        <v>6.4660000000000002</v>
      </c>
      <c r="I119" s="173">
        <v>7.16</v>
      </c>
      <c r="J119" s="173">
        <v>5.79</v>
      </c>
      <c r="K119" s="173">
        <v>4.49</v>
      </c>
      <c r="L119" s="173">
        <v>4.49</v>
      </c>
      <c r="M119" s="173">
        <v>4.49</v>
      </c>
      <c r="N119" s="173">
        <v>4.49</v>
      </c>
    </row>
    <row r="120" spans="1:16" ht="21">
      <c r="A120" s="113" t="s">
        <v>118</v>
      </c>
      <c r="B120" s="114" t="s">
        <v>94</v>
      </c>
      <c r="C120" s="115">
        <v>1</v>
      </c>
      <c r="D120" s="131"/>
      <c r="E120" s="131"/>
      <c r="F120" s="131"/>
      <c r="G120" s="117">
        <v>2.8450000000000002</v>
      </c>
      <c r="H120" s="173">
        <v>6.4660000000000002</v>
      </c>
      <c r="I120" s="173">
        <v>7.16</v>
      </c>
      <c r="J120" s="173">
        <v>5.79</v>
      </c>
      <c r="K120" s="173">
        <v>4.49</v>
      </c>
      <c r="L120" s="173">
        <v>4.49</v>
      </c>
      <c r="M120" s="173">
        <v>4.49</v>
      </c>
      <c r="N120" s="173">
        <v>4.49</v>
      </c>
    </row>
    <row r="121" spans="1:16" ht="21">
      <c r="A121" s="113" t="s">
        <v>119</v>
      </c>
      <c r="B121" s="114" t="s">
        <v>94</v>
      </c>
      <c r="C121" s="115">
        <v>1</v>
      </c>
      <c r="D121" s="131"/>
      <c r="E121" s="131"/>
      <c r="F121" s="131"/>
      <c r="G121" s="117">
        <v>0.29599999999999999</v>
      </c>
      <c r="H121" s="173">
        <f>9.7/1000</f>
        <v>9.6999999999999986E-3</v>
      </c>
      <c r="I121" s="173">
        <v>2.0999999999999999E-3</v>
      </c>
      <c r="J121" s="173"/>
      <c r="K121" s="173"/>
      <c r="L121" s="173"/>
      <c r="M121" s="173"/>
      <c r="N121" s="173"/>
    </row>
    <row r="122" spans="1:16" ht="12.75">
      <c r="A122" s="113" t="s">
        <v>120</v>
      </c>
      <c r="B122" s="114" t="s">
        <v>94</v>
      </c>
      <c r="C122" s="115">
        <v>1</v>
      </c>
      <c r="D122" s="131"/>
      <c r="E122" s="131"/>
      <c r="F122" s="131"/>
      <c r="G122" s="117">
        <v>50.691000000000003</v>
      </c>
      <c r="H122" s="173">
        <v>14.927</v>
      </c>
      <c r="I122" s="173">
        <v>11.53</v>
      </c>
      <c r="J122" s="173">
        <v>9.8755000000000006</v>
      </c>
      <c r="K122" s="173">
        <v>6.8949999999999996</v>
      </c>
      <c r="L122" s="173">
        <v>7.5</v>
      </c>
      <c r="M122" s="173">
        <v>7.6</v>
      </c>
      <c r="N122" s="173">
        <v>7.7</v>
      </c>
    </row>
    <row r="123" spans="1:16" ht="12.75">
      <c r="A123" s="172" t="s">
        <v>121</v>
      </c>
      <c r="B123" s="114" t="s">
        <v>94</v>
      </c>
      <c r="C123" s="115">
        <v>1</v>
      </c>
      <c r="D123" s="131"/>
      <c r="E123" s="131"/>
      <c r="F123" s="131"/>
      <c r="G123" s="117">
        <v>542.91399999999999</v>
      </c>
      <c r="H123" s="173">
        <f>H124+H125+H126+H127+H128</f>
        <v>693.80169999999998</v>
      </c>
      <c r="I123" s="173">
        <f>I124+I125+I126+I127+I128</f>
        <v>694.16</v>
      </c>
      <c r="J123" s="173">
        <f>J124+J125+J126+J127+J128</f>
        <v>633.39499999999998</v>
      </c>
      <c r="K123" s="173">
        <f>K124+K125+K126+K127+K128</f>
        <v>560.42000000000007</v>
      </c>
      <c r="L123" s="173">
        <f>L124+L125+L126+L127+L128</f>
        <v>583.70000000000005</v>
      </c>
      <c r="M123" s="173">
        <f>M124+M125+M127+M128+M126</f>
        <v>602.83299999999997</v>
      </c>
      <c r="N123" s="173">
        <f>N124+N125+N127+N128+N126</f>
        <v>602.83299999999997</v>
      </c>
      <c r="O123" s="167"/>
      <c r="P123" s="167"/>
    </row>
    <row r="124" spans="1:16" ht="31.5" customHeight="1">
      <c r="A124" s="113" t="s">
        <v>122</v>
      </c>
      <c r="B124" s="114" t="s">
        <v>94</v>
      </c>
      <c r="C124" s="115">
        <v>1</v>
      </c>
      <c r="D124" s="131"/>
      <c r="E124" s="131"/>
      <c r="F124" s="131"/>
      <c r="G124" s="117">
        <v>154.71600000000001</v>
      </c>
      <c r="H124" s="173">
        <v>133.976</v>
      </c>
      <c r="I124" s="173">
        <v>79.61</v>
      </c>
      <c r="J124" s="173">
        <v>94.53</v>
      </c>
      <c r="K124" s="173">
        <v>94.7</v>
      </c>
      <c r="L124" s="173">
        <v>105</v>
      </c>
      <c r="M124" s="173">
        <v>108</v>
      </c>
      <c r="N124" s="173">
        <v>108</v>
      </c>
      <c r="O124" s="137"/>
    </row>
    <row r="125" spans="1:16" ht="12.75">
      <c r="A125" s="113" t="s">
        <v>123</v>
      </c>
      <c r="B125" s="114" t="s">
        <v>94</v>
      </c>
      <c r="C125" s="115">
        <v>1</v>
      </c>
      <c r="D125" s="131"/>
      <c r="E125" s="131"/>
      <c r="F125" s="131"/>
      <c r="G125" s="117">
        <v>305.596</v>
      </c>
      <c r="H125" s="173">
        <v>452.17700000000002</v>
      </c>
      <c r="I125" s="173">
        <v>523.63</v>
      </c>
      <c r="J125" s="173">
        <v>452.41</v>
      </c>
      <c r="K125" s="173">
        <v>443.52</v>
      </c>
      <c r="L125" s="173">
        <v>456.5</v>
      </c>
      <c r="M125" s="173">
        <v>483.37</v>
      </c>
      <c r="N125" s="173">
        <v>483.37</v>
      </c>
      <c r="O125" s="137"/>
    </row>
    <row r="126" spans="1:16" ht="31.5">
      <c r="A126" s="113" t="s">
        <v>124</v>
      </c>
      <c r="B126" s="114" t="s">
        <v>94</v>
      </c>
      <c r="C126" s="115">
        <v>1</v>
      </c>
      <c r="D126" s="131"/>
      <c r="E126" s="131"/>
      <c r="F126" s="131"/>
      <c r="G126" s="117">
        <v>55.786999999999999</v>
      </c>
      <c r="H126" s="173">
        <v>92.631</v>
      </c>
      <c r="I126" s="173">
        <v>26.17</v>
      </c>
      <c r="J126" s="173">
        <v>35</v>
      </c>
      <c r="K126" s="173"/>
      <c r="L126" s="173"/>
      <c r="M126" s="173"/>
      <c r="N126" s="173"/>
    </row>
    <row r="127" spans="1:16" ht="12.75">
      <c r="A127" s="113" t="s">
        <v>125</v>
      </c>
      <c r="B127" s="114" t="s">
        <v>94</v>
      </c>
      <c r="C127" s="115">
        <v>1</v>
      </c>
      <c r="D127" s="131"/>
      <c r="E127" s="131"/>
      <c r="F127" s="131"/>
      <c r="G127" s="117">
        <v>17.294</v>
      </c>
      <c r="H127" s="173">
        <v>15.081</v>
      </c>
      <c r="I127" s="173">
        <v>69.3</v>
      </c>
      <c r="J127" s="173">
        <v>53.424999999999997</v>
      </c>
      <c r="K127" s="173">
        <v>22.2</v>
      </c>
      <c r="L127" s="173">
        <v>22.2</v>
      </c>
      <c r="M127" s="173">
        <v>11.462999999999999</v>
      </c>
      <c r="N127" s="173">
        <v>11.462999999999999</v>
      </c>
    </row>
    <row r="128" spans="1:16" ht="12.75">
      <c r="A128" s="113" t="s">
        <v>126</v>
      </c>
      <c r="B128" s="114" t="s">
        <v>94</v>
      </c>
      <c r="C128" s="115"/>
      <c r="D128" s="131"/>
      <c r="E128" s="131"/>
      <c r="F128" s="131"/>
      <c r="G128" s="117">
        <v>549</v>
      </c>
      <c r="H128" s="173">
        <f>-63.3/1000</f>
        <v>-6.3299999999999995E-2</v>
      </c>
      <c r="I128" s="173">
        <v>-4.55</v>
      </c>
      <c r="J128" s="173">
        <v>-1.97</v>
      </c>
      <c r="K128" s="173"/>
      <c r="L128" s="173"/>
      <c r="M128" s="173"/>
      <c r="N128" s="173"/>
    </row>
    <row r="129" spans="1:15" ht="12.75">
      <c r="A129" s="172" t="s">
        <v>127</v>
      </c>
      <c r="B129" s="114" t="s">
        <v>94</v>
      </c>
      <c r="C129" s="115">
        <v>1</v>
      </c>
      <c r="D129" s="131"/>
      <c r="E129" s="131"/>
      <c r="F129" s="131"/>
      <c r="G129" s="117">
        <v>584.072</v>
      </c>
      <c r="H129" s="173">
        <f>H130+H134+H139+H141+H142+H143+H144+H150</f>
        <v>702.48799999999994</v>
      </c>
      <c r="I129" s="173">
        <f>I130+I134+I139+I141+I142+I143+I144+I150</f>
        <v>862.27700000000004</v>
      </c>
      <c r="J129" s="173">
        <f>J130+J134+J139+J141+J142+J143+J144+J150+J149</f>
        <v>783.404</v>
      </c>
      <c r="K129" s="173">
        <f>K130+K134+K139+K141+K142+K143+K144+K150+K149</f>
        <v>666.44</v>
      </c>
      <c r="L129" s="173">
        <f t="shared" ref="L129" si="18">L130+L134+L139+L141+L142+L143+L144+L150+L149</f>
        <v>685.45</v>
      </c>
      <c r="M129" s="173">
        <f>M130+M134+M139+M141+M142+M143+M144+M150+M149</f>
        <v>706.63299999999992</v>
      </c>
      <c r="N129" s="173">
        <f>N130+N134+N139+N141+N142+N143+N144+N150+N149</f>
        <v>709.03300000000002</v>
      </c>
    </row>
    <row r="130" spans="1:15" ht="12.75">
      <c r="A130" s="113" t="s">
        <v>128</v>
      </c>
      <c r="B130" s="114" t="s">
        <v>94</v>
      </c>
      <c r="C130" s="115"/>
      <c r="D130" s="131"/>
      <c r="E130" s="131"/>
      <c r="F130" s="131"/>
      <c r="G130" s="117">
        <v>54.616</v>
      </c>
      <c r="H130" s="173">
        <v>66.628</v>
      </c>
      <c r="I130" s="173">
        <v>76.239999999999995</v>
      </c>
      <c r="J130" s="173">
        <v>80.739999999999995</v>
      </c>
      <c r="K130" s="173">
        <v>71.53</v>
      </c>
      <c r="L130" s="173">
        <v>73.17</v>
      </c>
      <c r="M130" s="173">
        <v>73</v>
      </c>
      <c r="N130" s="173">
        <v>73</v>
      </c>
    </row>
    <row r="131" spans="1:15" ht="21">
      <c r="A131" s="113" t="s">
        <v>129</v>
      </c>
      <c r="B131" s="114" t="s">
        <v>94</v>
      </c>
      <c r="C131" s="115">
        <v>1</v>
      </c>
      <c r="D131" s="131"/>
      <c r="E131" s="131"/>
      <c r="F131" s="131"/>
      <c r="G131" s="117">
        <v>1.446</v>
      </c>
      <c r="H131" s="173">
        <v>1.7709999999999999</v>
      </c>
      <c r="I131" s="173">
        <v>1.65</v>
      </c>
      <c r="J131" s="173">
        <v>1.3492999999999999</v>
      </c>
      <c r="K131" s="173">
        <v>0.68</v>
      </c>
      <c r="L131" s="173">
        <v>0.68</v>
      </c>
      <c r="M131" s="173">
        <v>1.7490000000000001</v>
      </c>
      <c r="N131" s="173">
        <v>1.7490000000000001</v>
      </c>
    </row>
    <row r="132" spans="1:15" ht="12.75">
      <c r="A132" s="113" t="s">
        <v>130</v>
      </c>
      <c r="B132" s="114" t="s">
        <v>94</v>
      </c>
      <c r="C132" s="115">
        <v>1</v>
      </c>
      <c r="D132" s="131"/>
      <c r="E132" s="131"/>
      <c r="F132" s="131"/>
      <c r="G132" s="117">
        <v>34.590000000000003</v>
      </c>
      <c r="H132" s="173">
        <v>41.92</v>
      </c>
      <c r="I132" s="173">
        <v>48.17</v>
      </c>
      <c r="J132" s="173">
        <v>42.49</v>
      </c>
      <c r="K132" s="173">
        <v>41.1</v>
      </c>
      <c r="L132" s="173">
        <v>41.1</v>
      </c>
      <c r="M132" s="173">
        <v>1.24</v>
      </c>
      <c r="N132" s="173">
        <v>1.24</v>
      </c>
    </row>
    <row r="133" spans="1:15" ht="21">
      <c r="A133" s="113" t="s">
        <v>131</v>
      </c>
      <c r="B133" s="114" t="s">
        <v>94</v>
      </c>
      <c r="C133" s="115"/>
      <c r="D133" s="131"/>
      <c r="E133" s="131"/>
      <c r="F133" s="131"/>
      <c r="G133" s="117">
        <v>0</v>
      </c>
      <c r="H133" s="173"/>
      <c r="I133" s="173"/>
      <c r="J133" s="173"/>
      <c r="K133" s="173"/>
      <c r="L133" s="173"/>
      <c r="M133" s="173"/>
      <c r="N133" s="173"/>
    </row>
    <row r="134" spans="1:15" ht="12.75">
      <c r="A134" s="113" t="s">
        <v>132</v>
      </c>
      <c r="B134" s="114" t="s">
        <v>94</v>
      </c>
      <c r="C134" s="115">
        <v>1</v>
      </c>
      <c r="D134" s="131"/>
      <c r="E134" s="131"/>
      <c r="F134" s="131"/>
      <c r="G134" s="117">
        <v>10.532999999999999</v>
      </c>
      <c r="H134" s="173">
        <f>H136+H138</f>
        <v>10.872</v>
      </c>
      <c r="I134" s="173">
        <v>14.65</v>
      </c>
      <c r="J134" s="173">
        <v>41.39</v>
      </c>
      <c r="K134" s="173">
        <v>16.489999999999998</v>
      </c>
      <c r="L134" s="173">
        <v>16.489999999999998</v>
      </c>
      <c r="M134" s="173">
        <v>18</v>
      </c>
      <c r="N134" s="173">
        <v>18</v>
      </c>
    </row>
    <row r="135" spans="1:15" ht="12.75">
      <c r="A135" s="113" t="s">
        <v>133</v>
      </c>
      <c r="B135" s="114" t="s">
        <v>94</v>
      </c>
      <c r="C135" s="115">
        <v>1</v>
      </c>
      <c r="D135" s="131"/>
      <c r="E135" s="131"/>
      <c r="F135" s="131"/>
      <c r="G135" s="117"/>
      <c r="H135" s="173"/>
      <c r="I135" s="173"/>
      <c r="J135" s="173"/>
      <c r="K135" s="173"/>
      <c r="L135" s="173"/>
      <c r="M135" s="173"/>
      <c r="N135" s="173"/>
    </row>
    <row r="136" spans="1:15" ht="12.75">
      <c r="A136" s="113" t="s">
        <v>134</v>
      </c>
      <c r="B136" s="114" t="s">
        <v>94</v>
      </c>
      <c r="C136" s="115">
        <v>1</v>
      </c>
      <c r="D136" s="131"/>
      <c r="E136" s="131"/>
      <c r="F136" s="131"/>
      <c r="G136" s="117">
        <v>10.532999999999999</v>
      </c>
      <c r="H136" s="173">
        <v>3.8370000000000002</v>
      </c>
      <c r="I136" s="173">
        <v>2.6739999999999999</v>
      </c>
      <c r="J136" s="173">
        <v>2.4500000000000002</v>
      </c>
      <c r="K136" s="173">
        <v>2.4700000000000002</v>
      </c>
      <c r="L136" s="173">
        <v>2.4700000000000002</v>
      </c>
      <c r="M136" s="173">
        <v>2.4790000000000001</v>
      </c>
      <c r="N136" s="173">
        <v>2.4790000000000001</v>
      </c>
    </row>
    <row r="137" spans="1:15" ht="12.75">
      <c r="A137" s="113" t="s">
        <v>135</v>
      </c>
      <c r="B137" s="114" t="s">
        <v>94</v>
      </c>
      <c r="C137" s="115">
        <v>1</v>
      </c>
      <c r="D137" s="131"/>
      <c r="E137" s="131"/>
      <c r="F137" s="131"/>
      <c r="G137" s="117"/>
      <c r="H137" s="173"/>
      <c r="I137" s="173"/>
      <c r="J137" s="173"/>
      <c r="K137" s="173"/>
      <c r="L137" s="173"/>
      <c r="M137" s="173">
        <v>12</v>
      </c>
      <c r="N137" s="173">
        <v>12</v>
      </c>
      <c r="O137" s="137"/>
    </row>
    <row r="138" spans="1:15" ht="12.75">
      <c r="A138" s="113" t="s">
        <v>136</v>
      </c>
      <c r="B138" s="114" t="s">
        <v>94</v>
      </c>
      <c r="C138" s="115">
        <v>1</v>
      </c>
      <c r="D138" s="131"/>
      <c r="E138" s="131"/>
      <c r="F138" s="131"/>
      <c r="G138" s="117"/>
      <c r="H138" s="173">
        <v>7.0350000000000001</v>
      </c>
      <c r="I138" s="173">
        <v>11.975</v>
      </c>
      <c r="J138" s="173">
        <v>38.94</v>
      </c>
      <c r="K138" s="173">
        <v>15.06</v>
      </c>
      <c r="L138" s="173">
        <v>15.06</v>
      </c>
      <c r="M138" s="173">
        <f>1.56+3.681</f>
        <v>5.2409999999999997</v>
      </c>
      <c r="N138" s="173">
        <f>1.56+3.681</f>
        <v>5.2409999999999997</v>
      </c>
    </row>
    <row r="139" spans="1:15" ht="12.75">
      <c r="A139" s="113" t="s">
        <v>137</v>
      </c>
      <c r="B139" s="114" t="s">
        <v>94</v>
      </c>
      <c r="C139" s="115">
        <v>1</v>
      </c>
      <c r="D139" s="131"/>
      <c r="E139" s="131"/>
      <c r="F139" s="131"/>
      <c r="G139" s="117">
        <v>18.646999999999998</v>
      </c>
      <c r="H139" s="173">
        <v>32.148000000000003</v>
      </c>
      <c r="I139" s="173">
        <v>26.481000000000002</v>
      </c>
      <c r="J139" s="173">
        <v>16.829999999999998</v>
      </c>
      <c r="K139" s="173">
        <v>7.48</v>
      </c>
      <c r="L139" s="173">
        <v>7.48</v>
      </c>
      <c r="M139" s="173">
        <v>5.17</v>
      </c>
      <c r="N139" s="173">
        <v>5.17</v>
      </c>
      <c r="O139" s="167"/>
    </row>
    <row r="140" spans="1:15" ht="12.75">
      <c r="A140" s="113" t="s">
        <v>138</v>
      </c>
      <c r="B140" s="114" t="s">
        <v>94</v>
      </c>
      <c r="C140" s="115">
        <v>1</v>
      </c>
      <c r="D140" s="131"/>
      <c r="E140" s="131"/>
      <c r="F140" s="131"/>
      <c r="G140" s="117"/>
      <c r="H140" s="173"/>
      <c r="I140" s="173"/>
      <c r="J140" s="173"/>
      <c r="K140" s="173"/>
      <c r="L140" s="173"/>
      <c r="M140" s="173"/>
      <c r="N140" s="173"/>
    </row>
    <row r="141" spans="1:15" ht="12.75">
      <c r="A141" s="113" t="s">
        <v>139</v>
      </c>
      <c r="B141" s="114" t="s">
        <v>94</v>
      </c>
      <c r="C141" s="115">
        <v>1</v>
      </c>
      <c r="D141" s="131"/>
      <c r="E141" s="131"/>
      <c r="F141" s="131"/>
      <c r="G141" s="117">
        <v>368.57799999999997</v>
      </c>
      <c r="H141" s="173">
        <v>519.75699999999995</v>
      </c>
      <c r="I141" s="173">
        <v>631.20000000000005</v>
      </c>
      <c r="J141" s="173">
        <v>520.28</v>
      </c>
      <c r="K141" s="173">
        <v>503.5</v>
      </c>
      <c r="L141" s="173">
        <v>519.97</v>
      </c>
      <c r="M141" s="173">
        <v>547.63</v>
      </c>
      <c r="N141" s="173">
        <v>547.63</v>
      </c>
      <c r="O141" s="167"/>
    </row>
    <row r="142" spans="1:15" ht="21">
      <c r="A142" s="113" t="s">
        <v>140</v>
      </c>
      <c r="B142" s="114" t="s">
        <v>94</v>
      </c>
      <c r="C142" s="115">
        <v>1</v>
      </c>
      <c r="D142" s="131"/>
      <c r="E142" s="131"/>
      <c r="F142" s="131"/>
      <c r="G142" s="117">
        <v>8.9909999999999997</v>
      </c>
      <c r="H142" s="173">
        <v>12.006</v>
      </c>
      <c r="I142" s="173">
        <v>14.66</v>
      </c>
      <c r="J142" s="173">
        <v>18.68</v>
      </c>
      <c r="K142" s="173">
        <v>16</v>
      </c>
      <c r="L142" s="173">
        <v>18.09</v>
      </c>
      <c r="M142" s="173">
        <v>14.35</v>
      </c>
      <c r="N142" s="173">
        <v>14.35</v>
      </c>
    </row>
    <row r="143" spans="1:15" ht="12.75">
      <c r="A143" s="113" t="s">
        <v>141</v>
      </c>
      <c r="B143" s="114" t="s">
        <v>94</v>
      </c>
      <c r="C143" s="115">
        <v>1</v>
      </c>
      <c r="D143" s="131"/>
      <c r="E143" s="131"/>
      <c r="F143" s="131"/>
      <c r="G143" s="117">
        <v>61.433999999999997</v>
      </c>
      <c r="H143" s="173">
        <v>7.7329999999999997</v>
      </c>
      <c r="I143" s="173">
        <v>35.624000000000002</v>
      </c>
      <c r="J143" s="173">
        <v>36.6</v>
      </c>
      <c r="K143" s="173">
        <v>10.72</v>
      </c>
      <c r="L143" s="173">
        <v>10.72</v>
      </c>
      <c r="M143" s="173">
        <v>2.2200000000000002</v>
      </c>
      <c r="N143" s="173">
        <v>2.2200000000000002</v>
      </c>
    </row>
    <row r="144" spans="1:15" ht="12.75">
      <c r="A144" s="113" t="s">
        <v>142</v>
      </c>
      <c r="B144" s="114" t="s">
        <v>94</v>
      </c>
      <c r="C144" s="115">
        <v>1</v>
      </c>
      <c r="D144" s="131"/>
      <c r="E144" s="131"/>
      <c r="F144" s="131"/>
      <c r="G144" s="117">
        <v>40.642000000000003</v>
      </c>
      <c r="H144" s="173">
        <v>49.768000000000001</v>
      </c>
      <c r="I144" s="173">
        <v>55.872999999999998</v>
      </c>
      <c r="J144" s="173">
        <v>27.98</v>
      </c>
      <c r="K144" s="173">
        <v>19.5</v>
      </c>
      <c r="L144" s="173">
        <v>19.5</v>
      </c>
      <c r="M144" s="173">
        <v>23.963000000000001</v>
      </c>
      <c r="N144" s="173">
        <v>23.963000000000001</v>
      </c>
      <c r="O144" s="167"/>
    </row>
    <row r="145" spans="1:15" ht="12.75">
      <c r="A145" s="113" t="s">
        <v>143</v>
      </c>
      <c r="B145" s="114" t="s">
        <v>94</v>
      </c>
      <c r="C145" s="115"/>
      <c r="D145" s="131"/>
      <c r="E145" s="131"/>
      <c r="F145" s="131"/>
      <c r="G145" s="117"/>
      <c r="H145" s="173"/>
      <c r="I145" s="173">
        <v>0.21</v>
      </c>
      <c r="J145" s="173">
        <v>0.21</v>
      </c>
      <c r="K145" s="173">
        <v>0.25</v>
      </c>
      <c r="L145" s="173">
        <v>0.25</v>
      </c>
      <c r="M145" s="173"/>
      <c r="N145" s="173"/>
    </row>
    <row r="146" spans="1:15" ht="12.75">
      <c r="A146" s="113" t="s">
        <v>144</v>
      </c>
      <c r="B146" s="114" t="s">
        <v>94</v>
      </c>
      <c r="C146" s="115">
        <v>1</v>
      </c>
      <c r="D146" s="131"/>
      <c r="E146" s="131"/>
      <c r="F146" s="131"/>
      <c r="G146" s="117">
        <v>30.803000000000001</v>
      </c>
      <c r="H146" s="173"/>
      <c r="I146" s="173">
        <v>43.53</v>
      </c>
      <c r="J146" s="173">
        <v>14.34</v>
      </c>
      <c r="K146" s="173">
        <v>17.25</v>
      </c>
      <c r="L146" s="173">
        <v>17.25</v>
      </c>
      <c r="M146" s="173">
        <v>45.45</v>
      </c>
      <c r="N146" s="173">
        <v>45.45</v>
      </c>
    </row>
    <row r="147" spans="1:15" ht="12.75">
      <c r="A147" s="113" t="s">
        <v>145</v>
      </c>
      <c r="B147" s="114" t="s">
        <v>94</v>
      </c>
      <c r="C147" s="115">
        <v>1</v>
      </c>
      <c r="D147" s="131"/>
      <c r="E147" s="131"/>
      <c r="F147" s="131"/>
      <c r="G147" s="117">
        <v>9.8390000000000004</v>
      </c>
      <c r="H147" s="173">
        <v>7.1890000000000001</v>
      </c>
      <c r="I147" s="173">
        <v>6.56</v>
      </c>
      <c r="J147" s="173">
        <v>8.7200000000000006</v>
      </c>
      <c r="K147" s="173"/>
      <c r="L147" s="173"/>
      <c r="M147" s="173">
        <v>7.7222</v>
      </c>
      <c r="N147" s="173">
        <v>7.7222</v>
      </c>
    </row>
    <row r="148" spans="1:15" ht="12.75">
      <c r="A148" s="113" t="s">
        <v>146</v>
      </c>
      <c r="B148" s="114" t="s">
        <v>94</v>
      </c>
      <c r="C148" s="115">
        <v>1</v>
      </c>
      <c r="D148" s="131"/>
      <c r="E148" s="131"/>
      <c r="F148" s="131"/>
      <c r="G148" s="117">
        <v>0</v>
      </c>
      <c r="H148" s="173"/>
      <c r="I148" s="173">
        <v>5.57</v>
      </c>
      <c r="J148" s="173">
        <v>4.71</v>
      </c>
      <c r="K148" s="173"/>
      <c r="L148" s="173"/>
      <c r="M148" s="173"/>
      <c r="N148" s="173"/>
    </row>
    <row r="149" spans="1:15" ht="31.5">
      <c r="A149" s="113" t="s">
        <v>147</v>
      </c>
      <c r="B149" s="114" t="s">
        <v>94</v>
      </c>
      <c r="C149" s="115"/>
      <c r="D149" s="131"/>
      <c r="E149" s="131"/>
      <c r="F149" s="131"/>
      <c r="G149" s="117"/>
      <c r="H149" s="173"/>
      <c r="I149" s="173"/>
      <c r="J149" s="173">
        <v>36.874000000000002</v>
      </c>
      <c r="K149" s="173">
        <v>21.22</v>
      </c>
      <c r="L149" s="173">
        <v>18.43</v>
      </c>
      <c r="M149" s="173">
        <v>21</v>
      </c>
      <c r="N149" s="173">
        <v>21</v>
      </c>
      <c r="O149" s="137"/>
    </row>
    <row r="150" spans="1:15" ht="12.75">
      <c r="A150" s="113" t="s">
        <v>148</v>
      </c>
      <c r="B150" s="114" t="s">
        <v>94</v>
      </c>
      <c r="C150" s="115"/>
      <c r="D150" s="131"/>
      <c r="E150" s="131"/>
      <c r="F150" s="131"/>
      <c r="G150" s="117">
        <v>20.631</v>
      </c>
      <c r="H150" s="173">
        <v>3.5760000000000001</v>
      </c>
      <c r="I150" s="173">
        <v>7.5490000000000004</v>
      </c>
      <c r="J150" s="173">
        <v>4.03</v>
      </c>
      <c r="K150" s="173"/>
      <c r="L150" s="173">
        <v>1.6</v>
      </c>
      <c r="M150" s="173">
        <v>1.3</v>
      </c>
      <c r="N150" s="173">
        <v>3.7</v>
      </c>
    </row>
    <row r="151" spans="1:15" ht="12.75">
      <c r="A151" s="113" t="s">
        <v>149</v>
      </c>
      <c r="B151" s="114" t="s">
        <v>94</v>
      </c>
      <c r="C151" s="115"/>
      <c r="D151" s="131"/>
      <c r="E151" s="131"/>
      <c r="F151" s="131"/>
      <c r="G151" s="117">
        <v>13.289</v>
      </c>
      <c r="H151" s="173">
        <f>H101-H129</f>
        <v>56.117400000000089</v>
      </c>
      <c r="I151" s="173">
        <v>57.2</v>
      </c>
      <c r="J151" s="173">
        <f>J101-J129</f>
        <v>-48.843499999999949</v>
      </c>
      <c r="K151" s="173">
        <f t="shared" ref="K151:L151" si="19">K101-K129</f>
        <v>-6.0249999999999773</v>
      </c>
      <c r="L151" s="173">
        <f t="shared" si="19"/>
        <v>0</v>
      </c>
      <c r="M151" s="173">
        <f>M101-M129</f>
        <v>4.0000000000077307E-2</v>
      </c>
      <c r="N151" s="173">
        <f>N101-N129</f>
        <v>3.999999999996362E-2</v>
      </c>
    </row>
    <row r="152" spans="1:15" ht="12.75">
      <c r="A152" s="113" t="s">
        <v>150</v>
      </c>
      <c r="B152" s="114" t="s">
        <v>94</v>
      </c>
      <c r="C152" s="115"/>
      <c r="D152" s="131"/>
      <c r="E152" s="131"/>
      <c r="F152" s="131"/>
      <c r="G152" s="117">
        <v>0</v>
      </c>
      <c r="H152" s="173">
        <f>142/1000</f>
        <v>0.14199999999999999</v>
      </c>
      <c r="I152" s="173">
        <f>142/1000</f>
        <v>0.14199999999999999</v>
      </c>
      <c r="J152" s="173">
        <v>0</v>
      </c>
      <c r="K152" s="173">
        <v>0</v>
      </c>
      <c r="L152" s="173">
        <v>0</v>
      </c>
      <c r="M152" s="173">
        <v>0</v>
      </c>
      <c r="N152" s="173">
        <v>0</v>
      </c>
    </row>
    <row r="153" spans="1:15" ht="28.5">
      <c r="A153" s="171" t="s">
        <v>151</v>
      </c>
      <c r="B153" s="134"/>
      <c r="C153" s="115"/>
      <c r="D153" s="131"/>
      <c r="E153" s="131"/>
      <c r="F153" s="131"/>
      <c r="G153" s="177"/>
      <c r="H153" s="173"/>
      <c r="I153" s="173"/>
      <c r="J153" s="173"/>
      <c r="K153" s="173"/>
      <c r="L153" s="173"/>
      <c r="M153" s="173"/>
      <c r="N153" s="173"/>
    </row>
    <row r="154" spans="1:15" ht="12.75">
      <c r="A154" s="151" t="s">
        <v>152</v>
      </c>
      <c r="B154" s="114" t="s">
        <v>94</v>
      </c>
      <c r="C154" s="115">
        <v>1</v>
      </c>
      <c r="D154" s="131"/>
      <c r="E154" s="131"/>
      <c r="F154" s="131"/>
      <c r="G154" s="117">
        <f t="shared" ref="G154:I154" si="20">G156+G157+G158+G162+G163</f>
        <v>7231.19</v>
      </c>
      <c r="H154" s="173">
        <f t="shared" si="20"/>
        <v>6584.8380000000006</v>
      </c>
      <c r="I154" s="173">
        <f t="shared" si="20"/>
        <v>7687.9</v>
      </c>
      <c r="J154" s="173">
        <f>J156+J157+J158+J162+J163</f>
        <v>8113.5250000000005</v>
      </c>
      <c r="K154" s="173">
        <f>K156+K157+K158+K162+K163</f>
        <v>8385.5712500000009</v>
      </c>
      <c r="L154" s="173">
        <f>L156+L157+L158+L162+L163</f>
        <v>8804.8498125000006</v>
      </c>
      <c r="M154" s="173">
        <f>M156+M157+M158+M162+M163</f>
        <v>9245.0923031250022</v>
      </c>
      <c r="N154" s="173">
        <f>N156+N157+N158+N162+N163</f>
        <v>9707.3469182812514</v>
      </c>
    </row>
    <row r="155" spans="1:15" ht="12.75">
      <c r="A155" s="113" t="s">
        <v>31</v>
      </c>
      <c r="B155" s="114"/>
      <c r="C155" s="115"/>
      <c r="D155" s="131"/>
      <c r="E155" s="131"/>
      <c r="F155" s="131"/>
      <c r="G155" s="117"/>
      <c r="H155" s="173"/>
      <c r="I155" s="173"/>
      <c r="J155" s="173"/>
      <c r="K155" s="173"/>
      <c r="L155" s="173"/>
      <c r="M155" s="173"/>
      <c r="N155" s="177"/>
    </row>
    <row r="156" spans="1:15" ht="12.75">
      <c r="A156" s="136" t="s">
        <v>153</v>
      </c>
      <c r="B156" s="114" t="s">
        <v>94</v>
      </c>
      <c r="C156" s="115">
        <v>1</v>
      </c>
      <c r="D156" s="131"/>
      <c r="E156" s="131"/>
      <c r="F156" s="131"/>
      <c r="G156" s="117">
        <v>5007.3</v>
      </c>
      <c r="H156" s="173">
        <v>3724.3</v>
      </c>
      <c r="I156" s="173">
        <v>4274.8999999999996</v>
      </c>
      <c r="J156" s="173">
        <v>5040.8450000000003</v>
      </c>
      <c r="K156" s="173">
        <f>J156*1.05</f>
        <v>5292.8872500000007</v>
      </c>
      <c r="L156" s="173">
        <f>K156*1.05</f>
        <v>5557.5316125000008</v>
      </c>
      <c r="M156" s="173">
        <f>L156*1.05</f>
        <v>5835.4081931250012</v>
      </c>
      <c r="N156" s="173">
        <f>M156*1.05</f>
        <v>6127.1786027812514</v>
      </c>
    </row>
    <row r="157" spans="1:15" ht="12.75">
      <c r="A157" s="136" t="s">
        <v>154</v>
      </c>
      <c r="B157" s="114" t="s">
        <v>94</v>
      </c>
      <c r="C157" s="115">
        <v>1</v>
      </c>
      <c r="D157" s="131"/>
      <c r="E157" s="131"/>
      <c r="F157" s="131"/>
      <c r="G157" s="117">
        <v>422.3</v>
      </c>
      <c r="H157" s="173">
        <v>516.1</v>
      </c>
      <c r="I157" s="173">
        <v>885</v>
      </c>
      <c r="J157" s="173">
        <v>660.6</v>
      </c>
      <c r="K157" s="173">
        <v>560</v>
      </c>
      <c r="L157" s="173">
        <f t="shared" ref="L157:N164" si="21">K157*1.05</f>
        <v>588</v>
      </c>
      <c r="M157" s="173">
        <f t="shared" si="21"/>
        <v>617.4</v>
      </c>
      <c r="N157" s="173">
        <f t="shared" si="21"/>
        <v>648.27</v>
      </c>
    </row>
    <row r="158" spans="1:15" ht="12.75">
      <c r="A158" s="136" t="s">
        <v>155</v>
      </c>
      <c r="B158" s="114" t="s">
        <v>94</v>
      </c>
      <c r="C158" s="115">
        <v>1</v>
      </c>
      <c r="D158" s="131"/>
      <c r="E158" s="131"/>
      <c r="F158" s="131"/>
      <c r="G158" s="117">
        <v>1529.4</v>
      </c>
      <c r="H158" s="173">
        <f>H159+H160</f>
        <v>2062.4300000000003</v>
      </c>
      <c r="I158" s="173">
        <v>2178.1999999999998</v>
      </c>
      <c r="J158" s="173">
        <v>2302.08</v>
      </c>
      <c r="K158" s="173">
        <f t="shared" ref="K158:K163" si="22">J158*1.05</f>
        <v>2417.1840000000002</v>
      </c>
      <c r="L158" s="173">
        <f t="shared" si="21"/>
        <v>2538.0432000000005</v>
      </c>
      <c r="M158" s="173">
        <f t="shared" si="21"/>
        <v>2664.9453600000006</v>
      </c>
      <c r="N158" s="173">
        <f t="shared" si="21"/>
        <v>2798.1926280000007</v>
      </c>
    </row>
    <row r="159" spans="1:15" ht="12.75">
      <c r="A159" s="166" t="s">
        <v>156</v>
      </c>
      <c r="B159" s="114" t="s">
        <v>94</v>
      </c>
      <c r="C159" s="115">
        <v>1</v>
      </c>
      <c r="D159" s="131"/>
      <c r="E159" s="131"/>
      <c r="F159" s="131"/>
      <c r="G159" s="117">
        <v>1241.5</v>
      </c>
      <c r="H159" s="173">
        <v>1566.93</v>
      </c>
      <c r="I159" s="173">
        <v>1673.8</v>
      </c>
      <c r="J159" s="173">
        <v>1953.22</v>
      </c>
      <c r="K159" s="300">
        <f>J159+280</f>
        <v>2233.2200000000003</v>
      </c>
      <c r="L159" s="173">
        <f t="shared" si="21"/>
        <v>2344.8810000000003</v>
      </c>
      <c r="M159" s="173">
        <f t="shared" si="21"/>
        <v>2462.1250500000006</v>
      </c>
      <c r="N159" s="173">
        <f t="shared" si="21"/>
        <v>2585.2313025000008</v>
      </c>
    </row>
    <row r="160" spans="1:15" ht="12.75">
      <c r="A160" s="166" t="s">
        <v>157</v>
      </c>
      <c r="B160" s="114" t="s">
        <v>94</v>
      </c>
      <c r="C160" s="115">
        <v>1</v>
      </c>
      <c r="D160" s="131"/>
      <c r="E160" s="131"/>
      <c r="F160" s="131"/>
      <c r="G160" s="117">
        <v>287.89999999999998</v>
      </c>
      <c r="H160" s="173">
        <v>495.5</v>
      </c>
      <c r="I160" s="173">
        <v>504.3</v>
      </c>
      <c r="J160" s="173">
        <v>348.86</v>
      </c>
      <c r="K160" s="173">
        <f t="shared" si="22"/>
        <v>366.30300000000005</v>
      </c>
      <c r="L160" s="173">
        <f t="shared" si="21"/>
        <v>384.61815000000007</v>
      </c>
      <c r="M160" s="173">
        <f t="shared" si="21"/>
        <v>403.84905750000007</v>
      </c>
      <c r="N160" s="173">
        <f t="shared" si="21"/>
        <v>424.04151037500009</v>
      </c>
    </row>
    <row r="161" spans="1:16" ht="12.75">
      <c r="A161" s="166" t="s">
        <v>158</v>
      </c>
      <c r="B161" s="114" t="s">
        <v>94</v>
      </c>
      <c r="C161" s="115">
        <v>1</v>
      </c>
      <c r="D161" s="131"/>
      <c r="E161" s="131"/>
      <c r="F161" s="131"/>
      <c r="G161" s="117"/>
      <c r="H161" s="173"/>
      <c r="I161" s="173">
        <v>0</v>
      </c>
      <c r="J161" s="173">
        <v>0</v>
      </c>
      <c r="K161" s="173">
        <f t="shared" si="22"/>
        <v>0</v>
      </c>
      <c r="L161" s="173">
        <f t="shared" si="21"/>
        <v>0</v>
      </c>
      <c r="M161" s="173">
        <f t="shared" si="21"/>
        <v>0</v>
      </c>
      <c r="N161" s="173">
        <f t="shared" si="21"/>
        <v>0</v>
      </c>
    </row>
    <row r="162" spans="1:16" ht="12.75">
      <c r="A162" s="136" t="s">
        <v>159</v>
      </c>
      <c r="B162" s="114" t="s">
        <v>94</v>
      </c>
      <c r="C162" s="115">
        <v>1</v>
      </c>
      <c r="D162" s="131"/>
      <c r="E162" s="131"/>
      <c r="F162" s="131"/>
      <c r="G162" s="117">
        <v>25.08</v>
      </c>
      <c r="H162" s="173">
        <v>82</v>
      </c>
      <c r="I162" s="173">
        <v>82.6</v>
      </c>
      <c r="J162" s="173"/>
      <c r="K162" s="173">
        <f t="shared" si="22"/>
        <v>0</v>
      </c>
      <c r="L162" s="173">
        <f t="shared" si="21"/>
        <v>0</v>
      </c>
      <c r="M162" s="173">
        <f t="shared" si="21"/>
        <v>0</v>
      </c>
      <c r="N162" s="173">
        <f t="shared" si="21"/>
        <v>0</v>
      </c>
    </row>
    <row r="163" spans="1:16" ht="12.75">
      <c r="A163" s="136" t="s">
        <v>160</v>
      </c>
      <c r="B163" s="114" t="s">
        <v>94</v>
      </c>
      <c r="C163" s="115">
        <v>1</v>
      </c>
      <c r="D163" s="131"/>
      <c r="E163" s="131"/>
      <c r="F163" s="131"/>
      <c r="G163" s="117">
        <f>0.92+109.47+136.72</f>
        <v>247.11</v>
      </c>
      <c r="H163" s="173">
        <f>5.198+66.91+127.9</f>
        <v>200.00800000000001</v>
      </c>
      <c r="I163" s="173">
        <f>2.7+127+137.5</f>
        <v>267.2</v>
      </c>
      <c r="J163" s="173">
        <v>110</v>
      </c>
      <c r="K163" s="173">
        <f t="shared" si="22"/>
        <v>115.5</v>
      </c>
      <c r="L163" s="173">
        <f t="shared" si="21"/>
        <v>121.27500000000001</v>
      </c>
      <c r="M163" s="173">
        <f t="shared" si="21"/>
        <v>127.33875</v>
      </c>
      <c r="N163" s="173">
        <f t="shared" si="21"/>
        <v>133.70568750000001</v>
      </c>
    </row>
    <row r="164" spans="1:16" ht="12.75">
      <c r="A164" s="113" t="s">
        <v>161</v>
      </c>
      <c r="B164" s="114" t="s">
        <v>162</v>
      </c>
      <c r="C164" s="115">
        <v>1</v>
      </c>
      <c r="D164" s="131"/>
      <c r="E164" s="131"/>
      <c r="F164" s="131"/>
      <c r="G164" s="117">
        <f>G154/G6/12*1000</f>
        <v>9552.9354259141837</v>
      </c>
      <c r="H164" s="173">
        <v>8335.4</v>
      </c>
      <c r="I164" s="173">
        <v>8752.17</v>
      </c>
      <c r="J164" s="173">
        <v>9649.267425</v>
      </c>
      <c r="K164" s="173">
        <v>10132</v>
      </c>
      <c r="L164" s="173">
        <f t="shared" si="21"/>
        <v>10638.6</v>
      </c>
      <c r="M164" s="173">
        <f t="shared" si="21"/>
        <v>11170.53</v>
      </c>
      <c r="N164" s="173">
        <f t="shared" si="21"/>
        <v>11729.056500000001</v>
      </c>
    </row>
    <row r="165" spans="1:16" ht="12.75">
      <c r="A165" s="151" t="s">
        <v>163</v>
      </c>
      <c r="B165" s="114" t="s">
        <v>94</v>
      </c>
      <c r="C165" s="115">
        <v>1</v>
      </c>
      <c r="D165" s="131"/>
      <c r="E165" s="131"/>
      <c r="F165" s="131"/>
      <c r="G165" s="117">
        <f t="shared" ref="G165:I165" si="23">G167+G169+G170</f>
        <v>6914.0800000000008</v>
      </c>
      <c r="H165" s="173">
        <f t="shared" si="23"/>
        <v>6538.7</v>
      </c>
      <c r="I165" s="173">
        <f t="shared" si="23"/>
        <v>7745.119999999999</v>
      </c>
      <c r="J165" s="173">
        <f>J167+J169+J170</f>
        <v>8156.33</v>
      </c>
      <c r="K165" s="173">
        <f>K167+K169+K170</f>
        <v>8564.1465000000007</v>
      </c>
      <c r="L165" s="173">
        <f>L167+L169+L170</f>
        <v>8992.3538250000001</v>
      </c>
      <c r="M165" s="173">
        <f>M167+M169+M170</f>
        <v>9441.9715162500015</v>
      </c>
      <c r="N165" s="173">
        <f>N167+N169+N170</f>
        <v>9914.0700920625004</v>
      </c>
    </row>
    <row r="166" spans="1:16" ht="12.75">
      <c r="A166" s="113" t="s">
        <v>31</v>
      </c>
      <c r="B166" s="114" t="s">
        <v>164</v>
      </c>
      <c r="C166" s="115"/>
      <c r="D166" s="131"/>
      <c r="E166" s="131"/>
      <c r="F166" s="131"/>
      <c r="G166" s="117"/>
      <c r="H166" s="173"/>
      <c r="I166" s="173">
        <v>0</v>
      </c>
      <c r="J166" s="173">
        <v>0</v>
      </c>
      <c r="K166" s="173">
        <f>J166*1.05</f>
        <v>0</v>
      </c>
      <c r="L166" s="173">
        <f t="shared" ref="L166:N169" si="24">K166*1.05</f>
        <v>0</v>
      </c>
      <c r="M166" s="173">
        <f t="shared" si="24"/>
        <v>0</v>
      </c>
      <c r="N166" s="173">
        <f t="shared" si="24"/>
        <v>0</v>
      </c>
      <c r="P166" s="167"/>
    </row>
    <row r="167" spans="1:16" ht="12.75">
      <c r="A167" s="136" t="s">
        <v>165</v>
      </c>
      <c r="B167" s="114" t="s">
        <v>94</v>
      </c>
      <c r="C167" s="115">
        <v>1</v>
      </c>
      <c r="D167" s="131"/>
      <c r="E167" s="131"/>
      <c r="F167" s="131"/>
      <c r="G167" s="117">
        <f>6143.1+521.18</f>
        <v>6664.2800000000007</v>
      </c>
      <c r="H167" s="173">
        <v>4364.96</v>
      </c>
      <c r="I167" s="173">
        <v>4841.74</v>
      </c>
      <c r="J167" s="173">
        <v>5785.65</v>
      </c>
      <c r="K167" s="173">
        <f>J167*1.05</f>
        <v>6074.9324999999999</v>
      </c>
      <c r="L167" s="173">
        <f t="shared" si="24"/>
        <v>6378.6791250000006</v>
      </c>
      <c r="M167" s="173">
        <f t="shared" si="24"/>
        <v>6697.6130812500005</v>
      </c>
      <c r="N167" s="173">
        <f t="shared" si="24"/>
        <v>7032.4937353125006</v>
      </c>
    </row>
    <row r="168" spans="1:16" ht="12.75">
      <c r="A168" s="166" t="s">
        <v>166</v>
      </c>
      <c r="B168" s="114" t="s">
        <v>94</v>
      </c>
      <c r="C168" s="115">
        <v>1</v>
      </c>
      <c r="D168" s="131"/>
      <c r="E168" s="131"/>
      <c r="F168" s="131"/>
      <c r="G168" s="117"/>
      <c r="H168" s="173">
        <v>3724.3</v>
      </c>
      <c r="I168" s="173">
        <v>4167.8</v>
      </c>
      <c r="J168" s="173">
        <v>5010.63</v>
      </c>
      <c r="K168" s="173">
        <f>J168*1.05</f>
        <v>5261.1615000000002</v>
      </c>
      <c r="L168" s="173">
        <f t="shared" si="24"/>
        <v>5524.2195750000001</v>
      </c>
      <c r="M168" s="173">
        <f t="shared" si="24"/>
        <v>5800.4305537500004</v>
      </c>
      <c r="N168" s="173">
        <f t="shared" si="24"/>
        <v>6090.452081437501</v>
      </c>
    </row>
    <row r="169" spans="1:16" ht="12.75">
      <c r="A169" s="136" t="s">
        <v>167</v>
      </c>
      <c r="B169" s="114" t="s">
        <v>94</v>
      </c>
      <c r="C169" s="115">
        <v>1</v>
      </c>
      <c r="D169" s="131"/>
      <c r="E169" s="131"/>
      <c r="F169" s="131"/>
      <c r="G169" s="117">
        <v>64.17</v>
      </c>
      <c r="H169" s="173">
        <v>58.61</v>
      </c>
      <c r="I169" s="173">
        <v>92.98</v>
      </c>
      <c r="J169" s="173">
        <v>90.12</v>
      </c>
      <c r="K169" s="173">
        <f>J169*1.05</f>
        <v>94.626000000000005</v>
      </c>
      <c r="L169" s="173">
        <f t="shared" si="24"/>
        <v>99.357300000000009</v>
      </c>
      <c r="M169" s="173">
        <f t="shared" si="24"/>
        <v>104.32516500000001</v>
      </c>
      <c r="N169" s="173">
        <f t="shared" si="24"/>
        <v>109.54142325000002</v>
      </c>
    </row>
    <row r="170" spans="1:16" ht="12.75">
      <c r="A170" s="136" t="s">
        <v>168</v>
      </c>
      <c r="B170" s="114" t="s">
        <v>94</v>
      </c>
      <c r="C170" s="115">
        <v>1</v>
      </c>
      <c r="D170" s="131"/>
      <c r="E170" s="131"/>
      <c r="F170" s="131"/>
      <c r="G170" s="117">
        <f>65+1.2+117.93+1.5</f>
        <v>185.63</v>
      </c>
      <c r="H170" s="173">
        <f>452.5+1.8+300.74+1360.09</f>
        <v>2115.13</v>
      </c>
      <c r="I170" s="173">
        <v>2810.4</v>
      </c>
      <c r="J170" s="173">
        <f>1785+317.42+178.14</f>
        <v>2280.56</v>
      </c>
      <c r="K170" s="173">
        <f>J170*1.05</f>
        <v>2394.5880000000002</v>
      </c>
      <c r="L170" s="173">
        <f>K170*1.05</f>
        <v>2514.3174000000004</v>
      </c>
      <c r="M170" s="173">
        <f>L170*1.05</f>
        <v>2640.0332700000004</v>
      </c>
      <c r="N170" s="173">
        <f>M170*1.05</f>
        <v>2772.0349335000005</v>
      </c>
    </row>
    <row r="171" spans="1:16" ht="21">
      <c r="A171" s="136" t="s">
        <v>169</v>
      </c>
      <c r="B171" s="114" t="s">
        <v>94</v>
      </c>
      <c r="C171" s="115">
        <v>1</v>
      </c>
      <c r="D171" s="131"/>
      <c r="E171" s="131"/>
      <c r="F171" s="131"/>
      <c r="G171" s="117">
        <f>G154-G165</f>
        <v>317.10999999999876</v>
      </c>
      <c r="H171" s="173">
        <f>H154-H165</f>
        <v>46.138000000000829</v>
      </c>
      <c r="I171" s="173">
        <f t="shared" ref="I171:N171" si="25">I154-I165</f>
        <v>-57.219999999999345</v>
      </c>
      <c r="J171" s="173">
        <f t="shared" si="25"/>
        <v>-42.804999999999382</v>
      </c>
      <c r="K171" s="173">
        <f>K154-K165</f>
        <v>-178.57524999999987</v>
      </c>
      <c r="L171" s="173">
        <f t="shared" si="25"/>
        <v>-187.50401249999959</v>
      </c>
      <c r="M171" s="173">
        <f t="shared" si="25"/>
        <v>-196.8792131249993</v>
      </c>
      <c r="N171" s="173">
        <f t="shared" si="25"/>
        <v>-206.72317378124899</v>
      </c>
    </row>
    <row r="172" spans="1:16" ht="31.5">
      <c r="A172" s="113" t="s">
        <v>170</v>
      </c>
      <c r="B172" s="114" t="s">
        <v>171</v>
      </c>
      <c r="C172" s="115">
        <v>1</v>
      </c>
      <c r="D172" s="178"/>
      <c r="E172" s="131"/>
      <c r="F172" s="131"/>
      <c r="G172" s="117">
        <v>6374.6</v>
      </c>
      <c r="H172" s="173">
        <v>7923</v>
      </c>
      <c r="I172" s="173">
        <v>8319.15</v>
      </c>
      <c r="J172" s="173">
        <v>9510</v>
      </c>
      <c r="K172" s="173">
        <f>J172+350</f>
        <v>9860</v>
      </c>
      <c r="L172" s="173">
        <f>K172+360</f>
        <v>10220</v>
      </c>
      <c r="M172" s="173">
        <f>L172+360</f>
        <v>10580</v>
      </c>
      <c r="N172" s="173">
        <f>M172+360</f>
        <v>10940</v>
      </c>
      <c r="O172" s="167"/>
    </row>
    <row r="173" spans="1:16" ht="14.25">
      <c r="A173" s="124" t="s">
        <v>172</v>
      </c>
      <c r="B173" s="134"/>
      <c r="C173" s="115"/>
      <c r="D173" s="131"/>
      <c r="E173" s="131"/>
      <c r="F173" s="131"/>
      <c r="G173" s="117"/>
      <c r="H173" s="173"/>
      <c r="I173" s="173"/>
      <c r="J173" s="173"/>
      <c r="K173" s="173"/>
      <c r="L173" s="173"/>
      <c r="M173" s="173"/>
      <c r="N173" s="173"/>
      <c r="O173" s="167"/>
    </row>
    <row r="174" spans="1:16" ht="12.75">
      <c r="A174" s="113" t="s">
        <v>173</v>
      </c>
      <c r="B174" s="114" t="s">
        <v>13</v>
      </c>
      <c r="C174" s="115">
        <v>1</v>
      </c>
      <c r="D174" s="131"/>
      <c r="E174" s="131"/>
      <c r="F174" s="131"/>
      <c r="G174" s="117">
        <v>37.08</v>
      </c>
      <c r="H174" s="173">
        <v>34.46</v>
      </c>
      <c r="I174" s="173">
        <v>34.130000000000003</v>
      </c>
      <c r="J174" s="173">
        <v>34.33</v>
      </c>
      <c r="K174" s="173">
        <v>34.33</v>
      </c>
      <c r="L174" s="173">
        <v>34.33</v>
      </c>
      <c r="M174" s="173">
        <v>34.33</v>
      </c>
      <c r="N174" s="173">
        <v>34.33</v>
      </c>
    </row>
    <row r="175" spans="1:16" ht="21">
      <c r="A175" s="151" t="s">
        <v>174</v>
      </c>
      <c r="B175" s="114" t="s">
        <v>13</v>
      </c>
      <c r="C175" s="115">
        <v>1</v>
      </c>
      <c r="D175" s="131"/>
      <c r="E175" s="131"/>
      <c r="F175" s="131"/>
      <c r="G175" s="117">
        <v>32.790999999999997</v>
      </c>
      <c r="H175" s="173">
        <v>29.9</v>
      </c>
      <c r="I175" s="173">
        <v>29.12</v>
      </c>
      <c r="J175" s="173">
        <v>31.027999999999999</v>
      </c>
      <c r="K175" s="173">
        <v>31.027999999999999</v>
      </c>
      <c r="L175" s="173">
        <v>31.027999999999999</v>
      </c>
      <c r="M175" s="173">
        <v>31.027999999999999</v>
      </c>
      <c r="N175" s="173">
        <v>31.027999999999999</v>
      </c>
    </row>
    <row r="176" spans="1:16" ht="21">
      <c r="A176" s="113" t="s">
        <v>175</v>
      </c>
      <c r="B176" s="114" t="s">
        <v>164</v>
      </c>
      <c r="C176" s="115"/>
      <c r="D176" s="131"/>
      <c r="E176" s="131"/>
      <c r="F176" s="131"/>
      <c r="G176" s="117"/>
      <c r="H176" s="173"/>
      <c r="I176" s="173"/>
      <c r="J176" s="173"/>
      <c r="K176" s="173"/>
      <c r="L176" s="173"/>
      <c r="M176" s="173"/>
      <c r="N176" s="173"/>
    </row>
    <row r="177" spans="1:16" ht="21">
      <c r="A177" s="136" t="s">
        <v>176</v>
      </c>
      <c r="B177" s="114" t="s">
        <v>13</v>
      </c>
      <c r="C177" s="115">
        <v>1</v>
      </c>
      <c r="D177" s="131"/>
      <c r="E177" s="131"/>
      <c r="F177" s="131"/>
      <c r="G177" s="117">
        <v>3.21</v>
      </c>
      <c r="H177" s="173">
        <f>(230+2223+582)/1000</f>
        <v>3.0350000000000001</v>
      </c>
      <c r="I177" s="173">
        <v>2.73</v>
      </c>
      <c r="J177" s="173">
        <f>(230+2223+582)/1000</f>
        <v>3.0350000000000001</v>
      </c>
      <c r="K177" s="173">
        <f t="shared" ref="K177:N177" si="26">(230+2223+582)/1000</f>
        <v>3.0350000000000001</v>
      </c>
      <c r="L177" s="173">
        <f t="shared" si="26"/>
        <v>3.0350000000000001</v>
      </c>
      <c r="M177" s="173">
        <f t="shared" si="26"/>
        <v>3.0350000000000001</v>
      </c>
      <c r="N177" s="173">
        <f t="shared" si="26"/>
        <v>3.0350000000000001</v>
      </c>
    </row>
    <row r="178" spans="1:16" ht="12.75">
      <c r="A178" s="136" t="s">
        <v>177</v>
      </c>
      <c r="B178" s="114" t="s">
        <v>13</v>
      </c>
      <c r="C178" s="115">
        <v>1</v>
      </c>
      <c r="D178" s="131"/>
      <c r="E178" s="131"/>
      <c r="F178" s="131"/>
      <c r="G178" s="117"/>
      <c r="H178" s="173"/>
      <c r="I178" s="173"/>
      <c r="J178" s="173"/>
      <c r="K178" s="173"/>
      <c r="L178" s="173"/>
      <c r="M178" s="173"/>
      <c r="N178" s="173"/>
    </row>
    <row r="179" spans="1:16" ht="21">
      <c r="A179" s="136" t="s">
        <v>178</v>
      </c>
      <c r="B179" s="114" t="s">
        <v>13</v>
      </c>
      <c r="C179" s="115">
        <v>1</v>
      </c>
      <c r="D179" s="131"/>
      <c r="E179" s="131"/>
      <c r="F179" s="131"/>
      <c r="G179" s="117">
        <f>4029/1000</f>
        <v>4.0289999999999999</v>
      </c>
      <c r="H179" s="173">
        <f t="shared" ref="H179:N179" si="27">(560+672)/1000</f>
        <v>1.232</v>
      </c>
      <c r="I179" s="173">
        <f t="shared" si="27"/>
        <v>1.232</v>
      </c>
      <c r="J179" s="173">
        <f t="shared" si="27"/>
        <v>1.232</v>
      </c>
      <c r="K179" s="173">
        <f t="shared" si="27"/>
        <v>1.232</v>
      </c>
      <c r="L179" s="173">
        <f t="shared" si="27"/>
        <v>1.232</v>
      </c>
      <c r="M179" s="173">
        <f t="shared" si="27"/>
        <v>1.232</v>
      </c>
      <c r="N179" s="173">
        <f t="shared" si="27"/>
        <v>1.232</v>
      </c>
    </row>
    <row r="180" spans="1:16" ht="12.75">
      <c r="A180" s="136" t="s">
        <v>179</v>
      </c>
      <c r="B180" s="114" t="s">
        <v>13</v>
      </c>
      <c r="C180" s="115">
        <v>1</v>
      </c>
      <c r="D180" s="131"/>
      <c r="E180" s="131"/>
      <c r="F180" s="131"/>
      <c r="G180" s="117"/>
      <c r="H180" s="173"/>
      <c r="I180" s="173"/>
      <c r="J180" s="173"/>
      <c r="K180" s="173"/>
      <c r="L180" s="173"/>
      <c r="M180" s="173"/>
      <c r="N180" s="173"/>
      <c r="O180" s="179"/>
      <c r="P180" s="179"/>
    </row>
    <row r="181" spans="1:16" ht="15">
      <c r="A181" s="136" t="s">
        <v>180</v>
      </c>
      <c r="B181" s="114" t="s">
        <v>13</v>
      </c>
      <c r="C181" s="115">
        <v>1</v>
      </c>
      <c r="D181" s="131"/>
      <c r="E181" s="131"/>
      <c r="F181" s="131"/>
      <c r="G181" s="117">
        <v>15.8</v>
      </c>
      <c r="H181" s="173">
        <v>15.8</v>
      </c>
      <c r="I181" s="173">
        <v>18.47</v>
      </c>
      <c r="J181" s="173">
        <v>15.8</v>
      </c>
      <c r="K181" s="173">
        <v>15.8</v>
      </c>
      <c r="L181" s="173">
        <v>15.8</v>
      </c>
      <c r="M181" s="173">
        <v>15.8</v>
      </c>
      <c r="N181" s="173">
        <v>15.8</v>
      </c>
      <c r="O181" s="180"/>
      <c r="P181" s="180"/>
    </row>
    <row r="182" spans="1:16" ht="15">
      <c r="A182" s="136" t="s">
        <v>181</v>
      </c>
      <c r="B182" s="114" t="s">
        <v>164</v>
      </c>
      <c r="C182" s="115">
        <v>1</v>
      </c>
      <c r="D182" s="131"/>
      <c r="E182" s="131"/>
      <c r="F182" s="131"/>
      <c r="G182" s="117"/>
      <c r="H182" s="173"/>
      <c r="I182" s="173"/>
      <c r="J182" s="173"/>
      <c r="K182" s="173"/>
      <c r="L182" s="173"/>
      <c r="M182" s="173"/>
      <c r="N182" s="173"/>
      <c r="O182" s="180"/>
      <c r="P182" s="180"/>
    </row>
    <row r="183" spans="1:16" ht="21">
      <c r="A183" s="166" t="s">
        <v>182</v>
      </c>
      <c r="B183" s="114" t="s">
        <v>13</v>
      </c>
      <c r="C183" s="115">
        <v>1</v>
      </c>
      <c r="D183" s="131"/>
      <c r="E183" s="131"/>
      <c r="F183" s="131"/>
      <c r="G183" s="117">
        <v>0.16</v>
      </c>
      <c r="H183" s="173">
        <v>0.16</v>
      </c>
      <c r="I183" s="173">
        <v>0.16800000000000001</v>
      </c>
      <c r="J183" s="173">
        <v>0.16</v>
      </c>
      <c r="K183" s="173">
        <v>0.16</v>
      </c>
      <c r="L183" s="173">
        <v>0.16</v>
      </c>
      <c r="M183" s="173">
        <v>0.16</v>
      </c>
      <c r="N183" s="173">
        <v>0.16</v>
      </c>
      <c r="O183" s="180"/>
      <c r="P183" s="180"/>
    </row>
    <row r="184" spans="1:16" ht="15">
      <c r="A184" s="166" t="s">
        <v>183</v>
      </c>
      <c r="B184" s="114" t="s">
        <v>13</v>
      </c>
      <c r="C184" s="115">
        <v>1</v>
      </c>
      <c r="D184" s="131"/>
      <c r="E184" s="131"/>
      <c r="F184" s="131"/>
      <c r="G184" s="117"/>
      <c r="H184" s="173"/>
      <c r="I184" s="173">
        <f>I181-I185-I183</f>
        <v>2.501999999999998</v>
      </c>
      <c r="J184" s="173"/>
      <c r="K184" s="173"/>
      <c r="L184" s="173"/>
      <c r="M184" s="173"/>
      <c r="N184" s="173"/>
      <c r="O184" s="181"/>
      <c r="P184" s="181"/>
    </row>
    <row r="185" spans="1:16" ht="42">
      <c r="A185" s="166" t="s">
        <v>184</v>
      </c>
      <c r="B185" s="114" t="s">
        <v>13</v>
      </c>
      <c r="C185" s="115">
        <v>1</v>
      </c>
      <c r="D185" s="131"/>
      <c r="E185" s="131"/>
      <c r="F185" s="131"/>
      <c r="G185" s="117">
        <f>G181-G183</f>
        <v>15.64</v>
      </c>
      <c r="H185" s="173">
        <v>15.64</v>
      </c>
      <c r="I185" s="173">
        <v>15.8</v>
      </c>
      <c r="J185" s="173">
        <v>15.64</v>
      </c>
      <c r="K185" s="173">
        <v>15.64</v>
      </c>
      <c r="L185" s="173">
        <v>15.64</v>
      </c>
      <c r="M185" s="173">
        <v>15.64</v>
      </c>
      <c r="N185" s="173">
        <v>15.64</v>
      </c>
      <c r="O185" s="181"/>
      <c r="P185" s="181"/>
    </row>
    <row r="186" spans="1:16" ht="21">
      <c r="A186" s="113" t="s">
        <v>185</v>
      </c>
      <c r="B186" s="114" t="s">
        <v>13</v>
      </c>
      <c r="C186" s="115">
        <v>1</v>
      </c>
      <c r="D186" s="131"/>
      <c r="E186" s="131"/>
      <c r="F186" s="131"/>
      <c r="G186" s="117">
        <v>0.92</v>
      </c>
      <c r="H186" s="173">
        <v>1.6</v>
      </c>
      <c r="I186" s="173">
        <v>1.74</v>
      </c>
      <c r="J186" s="173">
        <v>1.7</v>
      </c>
      <c r="K186" s="173">
        <v>1.7</v>
      </c>
      <c r="L186" s="173">
        <v>1.7</v>
      </c>
      <c r="M186" s="173">
        <v>1.7</v>
      </c>
      <c r="N186" s="173">
        <v>1.7</v>
      </c>
    </row>
    <row r="187" spans="1:16" ht="31.5" customHeight="1">
      <c r="A187" s="113" t="s">
        <v>186</v>
      </c>
      <c r="B187" s="114" t="s">
        <v>13</v>
      </c>
      <c r="C187" s="115">
        <v>1</v>
      </c>
      <c r="D187" s="131"/>
      <c r="E187" s="131"/>
      <c r="F187" s="131"/>
      <c r="G187" s="117">
        <v>3.7</v>
      </c>
      <c r="H187" s="173">
        <f t="shared" ref="H187:N187" si="28">66.58</f>
        <v>66.58</v>
      </c>
      <c r="I187" s="173">
        <f t="shared" si="28"/>
        <v>66.58</v>
      </c>
      <c r="J187" s="173">
        <f t="shared" si="28"/>
        <v>66.58</v>
      </c>
      <c r="K187" s="173">
        <f t="shared" si="28"/>
        <v>66.58</v>
      </c>
      <c r="L187" s="173">
        <f t="shared" si="28"/>
        <v>66.58</v>
      </c>
      <c r="M187" s="173">
        <f t="shared" si="28"/>
        <v>66.58</v>
      </c>
      <c r="N187" s="173">
        <f t="shared" si="28"/>
        <v>66.58</v>
      </c>
    </row>
    <row r="188" spans="1:16" ht="12.75">
      <c r="A188" s="113" t="s">
        <v>187</v>
      </c>
      <c r="B188" s="114" t="s">
        <v>188</v>
      </c>
      <c r="C188" s="115">
        <v>1</v>
      </c>
      <c r="D188" s="131"/>
      <c r="E188" s="131"/>
      <c r="F188" s="131"/>
      <c r="G188" s="117">
        <v>9.02</v>
      </c>
      <c r="H188" s="173">
        <v>8.9</v>
      </c>
      <c r="I188" s="173">
        <v>10.1</v>
      </c>
      <c r="J188" s="173">
        <v>8.9</v>
      </c>
      <c r="K188" s="173">
        <v>8.9</v>
      </c>
      <c r="L188" s="173">
        <v>8.9</v>
      </c>
      <c r="M188" s="173">
        <v>8.9</v>
      </c>
      <c r="N188" s="173">
        <v>8.9</v>
      </c>
    </row>
    <row r="189" spans="1:16" ht="12.75">
      <c r="A189" s="113" t="s">
        <v>189</v>
      </c>
      <c r="B189" s="114" t="s">
        <v>188</v>
      </c>
      <c r="C189" s="115">
        <v>1</v>
      </c>
      <c r="D189" s="131"/>
      <c r="E189" s="131"/>
      <c r="F189" s="131"/>
      <c r="G189" s="117">
        <v>2.75</v>
      </c>
      <c r="H189" s="173">
        <v>2.4</v>
      </c>
      <c r="I189" s="173">
        <v>2.4300000000000002</v>
      </c>
      <c r="J189" s="173">
        <v>2.4</v>
      </c>
      <c r="K189" s="173">
        <v>2.4</v>
      </c>
      <c r="L189" s="173">
        <v>2.4</v>
      </c>
      <c r="M189" s="173">
        <v>2.4</v>
      </c>
      <c r="N189" s="173">
        <v>2.4</v>
      </c>
    </row>
    <row r="190" spans="1:16" ht="12.75">
      <c r="A190" s="113" t="s">
        <v>190</v>
      </c>
      <c r="B190" s="114" t="s">
        <v>13</v>
      </c>
      <c r="C190" s="115">
        <v>1</v>
      </c>
      <c r="D190" s="131"/>
      <c r="E190" s="131"/>
      <c r="F190" s="131"/>
      <c r="G190" s="117">
        <v>3.2</v>
      </c>
      <c r="H190" s="173">
        <v>2.92</v>
      </c>
      <c r="I190" s="173">
        <v>3.278</v>
      </c>
      <c r="J190" s="173">
        <v>2.92</v>
      </c>
      <c r="K190" s="173">
        <v>2.92</v>
      </c>
      <c r="L190" s="173">
        <v>2.92</v>
      </c>
      <c r="M190" s="173">
        <v>2.92</v>
      </c>
      <c r="N190" s="173">
        <v>2.92</v>
      </c>
    </row>
    <row r="191" spans="1:16" ht="31.5">
      <c r="A191" s="113" t="s">
        <v>191</v>
      </c>
      <c r="B191" s="114" t="s">
        <v>13</v>
      </c>
      <c r="C191" s="115">
        <v>1</v>
      </c>
      <c r="D191" s="131"/>
      <c r="E191" s="178"/>
      <c r="F191" s="131"/>
      <c r="G191" s="117">
        <v>0.99</v>
      </c>
      <c r="H191" s="173">
        <v>0.79</v>
      </c>
      <c r="I191" s="173">
        <v>0.78600000000000003</v>
      </c>
      <c r="J191" s="173">
        <v>0.79</v>
      </c>
      <c r="K191" s="173">
        <f>798/1000</f>
        <v>0.79800000000000004</v>
      </c>
      <c r="L191" s="173">
        <f t="shared" ref="L191:N191" si="29">798/1000</f>
        <v>0.79800000000000004</v>
      </c>
      <c r="M191" s="173">
        <f t="shared" si="29"/>
        <v>0.79800000000000004</v>
      </c>
      <c r="N191" s="173">
        <f t="shared" si="29"/>
        <v>0.79800000000000004</v>
      </c>
    </row>
    <row r="192" spans="1:16" ht="21">
      <c r="A192" s="113" t="s">
        <v>192</v>
      </c>
      <c r="B192" s="114" t="s">
        <v>13</v>
      </c>
      <c r="C192" s="115">
        <v>1</v>
      </c>
      <c r="D192" s="131"/>
      <c r="E192" s="131"/>
      <c r="F192" s="131"/>
      <c r="G192" s="117">
        <v>6.569</v>
      </c>
      <c r="H192" s="173">
        <v>3.97</v>
      </c>
      <c r="I192" s="173">
        <v>3.97</v>
      </c>
      <c r="J192" s="173">
        <v>3.97</v>
      </c>
      <c r="K192" s="173">
        <v>4.49</v>
      </c>
      <c r="L192" s="173">
        <v>3.97</v>
      </c>
      <c r="M192" s="173">
        <v>3.97</v>
      </c>
      <c r="N192" s="173">
        <v>3.97</v>
      </c>
    </row>
    <row r="193" spans="1:15" ht="12.75">
      <c r="A193" s="113" t="s">
        <v>193</v>
      </c>
      <c r="B193" s="114" t="s">
        <v>30</v>
      </c>
      <c r="C193" s="115">
        <v>1</v>
      </c>
      <c r="D193" s="131"/>
      <c r="E193" s="131"/>
      <c r="F193" s="131"/>
      <c r="G193" s="117">
        <v>422.3</v>
      </c>
      <c r="H193" s="173">
        <v>516.1</v>
      </c>
      <c r="I193" s="173">
        <v>885</v>
      </c>
      <c r="J193" s="173">
        <v>660.6</v>
      </c>
      <c r="K193" s="173">
        <v>708</v>
      </c>
      <c r="L193" s="173">
        <f>K193*1.05</f>
        <v>743.4</v>
      </c>
      <c r="M193" s="173">
        <f t="shared" ref="J193:N194" si="30">L193*1.05</f>
        <v>780.57</v>
      </c>
      <c r="N193" s="173">
        <f t="shared" si="30"/>
        <v>819.59850000000006</v>
      </c>
    </row>
    <row r="194" spans="1:15" ht="12.75">
      <c r="A194" s="113" t="s">
        <v>194</v>
      </c>
      <c r="B194" s="114" t="s">
        <v>30</v>
      </c>
      <c r="C194" s="115">
        <v>1</v>
      </c>
      <c r="D194" s="131"/>
      <c r="E194" s="131"/>
      <c r="F194" s="131"/>
      <c r="G194" s="117">
        <v>1529.4</v>
      </c>
      <c r="H194" s="173">
        <v>2062.4</v>
      </c>
      <c r="I194" s="173">
        <v>2178.1999999999998</v>
      </c>
      <c r="J194" s="173">
        <f t="shared" si="30"/>
        <v>2287.11</v>
      </c>
      <c r="K194" s="173">
        <v>2302.1</v>
      </c>
      <c r="L194" s="173">
        <f>J194*1.05</f>
        <v>2401.4655000000002</v>
      </c>
      <c r="M194" s="173">
        <f t="shared" si="30"/>
        <v>2521.5387750000004</v>
      </c>
      <c r="N194" s="173">
        <f t="shared" si="30"/>
        <v>2647.6157137500004</v>
      </c>
    </row>
    <row r="195" spans="1:15" ht="14.25">
      <c r="A195" s="124" t="s">
        <v>195</v>
      </c>
      <c r="B195" s="114"/>
      <c r="C195" s="115"/>
      <c r="D195" s="131"/>
      <c r="E195" s="131"/>
      <c r="F195" s="131"/>
      <c r="G195" s="117"/>
      <c r="H195" s="173"/>
      <c r="I195" s="173"/>
      <c r="J195" s="173"/>
      <c r="K195" s="173"/>
      <c r="L195" s="173"/>
      <c r="M195" s="173"/>
      <c r="N195" s="173"/>
    </row>
    <row r="196" spans="1:15" ht="21">
      <c r="A196" s="113" t="s">
        <v>196</v>
      </c>
      <c r="B196" s="114" t="s">
        <v>197</v>
      </c>
      <c r="C196" s="115">
        <v>1</v>
      </c>
      <c r="D196" s="116"/>
      <c r="E196" s="116"/>
      <c r="F196" s="116"/>
      <c r="G196" s="117">
        <v>670</v>
      </c>
      <c r="H196" s="173">
        <v>670</v>
      </c>
      <c r="I196" s="173">
        <v>670</v>
      </c>
      <c r="J196" s="173">
        <f>I196+50+50</f>
        <v>770</v>
      </c>
      <c r="K196" s="173">
        <v>1079</v>
      </c>
      <c r="L196" s="173">
        <f>K196+60</f>
        <v>1139</v>
      </c>
      <c r="M196" s="173">
        <f>L196+40</f>
        <v>1179</v>
      </c>
      <c r="N196" s="173">
        <f>M196+40</f>
        <v>1219</v>
      </c>
    </row>
    <row r="197" spans="1:15" ht="21">
      <c r="A197" s="182" t="s">
        <v>198</v>
      </c>
      <c r="B197" s="114"/>
      <c r="C197" s="115"/>
      <c r="D197" s="131"/>
      <c r="E197" s="131"/>
      <c r="F197" s="131"/>
      <c r="G197" s="146"/>
      <c r="H197" s="173">
        <f>H198+H199</f>
        <v>10566</v>
      </c>
      <c r="I197" s="173">
        <f t="shared" ref="I197:N197" si="31">I198+I199</f>
        <v>10013</v>
      </c>
      <c r="J197" s="173">
        <f t="shared" si="31"/>
        <v>10069</v>
      </c>
      <c r="K197" s="173">
        <f t="shared" si="31"/>
        <v>10166</v>
      </c>
      <c r="L197" s="173">
        <f t="shared" si="31"/>
        <v>10150</v>
      </c>
      <c r="M197" s="173">
        <f t="shared" si="31"/>
        <v>10150</v>
      </c>
      <c r="N197" s="173">
        <f t="shared" si="31"/>
        <v>10150</v>
      </c>
    </row>
    <row r="198" spans="1:15" ht="24.75" customHeight="1">
      <c r="A198" s="136" t="s">
        <v>199</v>
      </c>
      <c r="B198" s="114" t="s">
        <v>197</v>
      </c>
      <c r="C198" s="115">
        <v>1</v>
      </c>
      <c r="D198" s="131"/>
      <c r="E198" s="131"/>
      <c r="F198" s="131"/>
      <c r="G198" s="117">
        <v>9622</v>
      </c>
      <c r="H198" s="173">
        <f>10073-493</f>
        <v>9580</v>
      </c>
      <c r="I198" s="173">
        <f>10013-449</f>
        <v>9564</v>
      </c>
      <c r="J198" s="173">
        <v>9957</v>
      </c>
      <c r="K198" s="173">
        <v>10054</v>
      </c>
      <c r="L198" s="173">
        <v>10055</v>
      </c>
      <c r="M198" s="173">
        <v>10055</v>
      </c>
      <c r="N198" s="173">
        <v>10055</v>
      </c>
    </row>
    <row r="199" spans="1:15" ht="12.75">
      <c r="A199" s="136" t="s">
        <v>200</v>
      </c>
      <c r="B199" s="114" t="s">
        <v>197</v>
      </c>
      <c r="C199" s="115">
        <v>1</v>
      </c>
      <c r="D199" s="131"/>
      <c r="E199" s="178"/>
      <c r="F199" s="131"/>
      <c r="G199" s="117">
        <f>704+9</f>
        <v>713</v>
      </c>
      <c r="H199" s="173">
        <f>10566-H198</f>
        <v>986</v>
      </c>
      <c r="I199" s="173">
        <f>103+346</f>
        <v>449</v>
      </c>
      <c r="J199" s="173">
        <v>112</v>
      </c>
      <c r="K199" s="173">
        <v>112</v>
      </c>
      <c r="L199" s="173">
        <v>95</v>
      </c>
      <c r="M199" s="173">
        <v>95</v>
      </c>
      <c r="N199" s="173">
        <v>95</v>
      </c>
    </row>
    <row r="200" spans="1:15" ht="12.75">
      <c r="A200" s="136" t="s">
        <v>201</v>
      </c>
      <c r="B200" s="114" t="s">
        <v>197</v>
      </c>
      <c r="C200" s="115">
        <v>1</v>
      </c>
      <c r="D200" s="131"/>
      <c r="E200" s="131"/>
      <c r="F200" s="131"/>
      <c r="G200" s="117"/>
      <c r="H200" s="173">
        <v>0</v>
      </c>
      <c r="I200" s="173">
        <v>0</v>
      </c>
      <c r="J200" s="173">
        <v>0</v>
      </c>
      <c r="K200" s="173">
        <v>0</v>
      </c>
      <c r="L200" s="173">
        <v>0</v>
      </c>
      <c r="M200" s="173">
        <v>0</v>
      </c>
      <c r="N200" s="173">
        <v>0</v>
      </c>
    </row>
    <row r="201" spans="1:15" ht="42">
      <c r="A201" s="113" t="s">
        <v>202</v>
      </c>
      <c r="B201" s="114" t="s">
        <v>203</v>
      </c>
      <c r="C201" s="115">
        <v>1</v>
      </c>
      <c r="D201" s="131"/>
      <c r="E201" s="131"/>
      <c r="F201" s="131"/>
      <c r="G201" s="117">
        <f>7255/9622*100</f>
        <v>75.400124714196636</v>
      </c>
      <c r="H201" s="173">
        <f>7827/H198*100</f>
        <v>81.701461377870572</v>
      </c>
      <c r="I201" s="173">
        <f>7683/I198*100</f>
        <v>80.332496863237139</v>
      </c>
      <c r="J201" s="173">
        <f>7979/J198*100</f>
        <v>80.134578688359952</v>
      </c>
      <c r="K201" s="290">
        <f>8250/10055*100</f>
        <v>82.048731974142214</v>
      </c>
      <c r="L201" s="290">
        <f t="shared" ref="L201:N201" si="32">8250/10055*100</f>
        <v>82.048731974142214</v>
      </c>
      <c r="M201" s="290">
        <f t="shared" si="32"/>
        <v>82.048731974142214</v>
      </c>
      <c r="N201" s="290">
        <f t="shared" si="32"/>
        <v>82.048731974142214</v>
      </c>
    </row>
    <row r="202" spans="1:15" ht="19.5">
      <c r="A202" s="151" t="s">
        <v>204</v>
      </c>
      <c r="B202" s="183" t="s">
        <v>205</v>
      </c>
      <c r="C202" s="115">
        <v>1</v>
      </c>
      <c r="D202" s="131"/>
      <c r="E202" s="131"/>
      <c r="F202" s="131"/>
      <c r="G202" s="117">
        <v>18.04</v>
      </c>
      <c r="H202" s="173">
        <v>20.6</v>
      </c>
      <c r="I202" s="173">
        <v>20.7</v>
      </c>
      <c r="J202" s="173">
        <v>21.45</v>
      </c>
      <c r="K202" s="173">
        <v>22.04</v>
      </c>
      <c r="L202" s="173">
        <v>22.04</v>
      </c>
      <c r="M202" s="173">
        <v>22.04</v>
      </c>
      <c r="N202" s="173">
        <v>22.04</v>
      </c>
    </row>
    <row r="203" spans="1:15" ht="13.5" customHeight="1">
      <c r="A203" s="113" t="s">
        <v>206</v>
      </c>
      <c r="B203" s="183"/>
      <c r="C203" s="115"/>
      <c r="D203" s="131"/>
      <c r="E203" s="131"/>
      <c r="F203" s="131"/>
      <c r="G203" s="117"/>
      <c r="H203" s="173"/>
      <c r="I203" s="173"/>
      <c r="J203" s="173"/>
      <c r="K203" s="173"/>
      <c r="L203" s="290"/>
      <c r="M203" s="290"/>
      <c r="N203" s="290"/>
    </row>
    <row r="204" spans="1:15" ht="19.5">
      <c r="A204" s="136" t="s">
        <v>207</v>
      </c>
      <c r="B204" s="183" t="s">
        <v>205</v>
      </c>
      <c r="C204" s="115">
        <v>1</v>
      </c>
      <c r="D204" s="131"/>
      <c r="E204" s="131"/>
      <c r="F204" s="131"/>
      <c r="G204" s="184" t="s">
        <v>40</v>
      </c>
      <c r="H204" s="173">
        <v>1.56</v>
      </c>
      <c r="I204" s="173">
        <f>1450.72/1000</f>
        <v>1.45072</v>
      </c>
      <c r="J204" s="173">
        <f>1475.72/1000</f>
        <v>1.4757199999999999</v>
      </c>
      <c r="K204" s="173">
        <v>0.54</v>
      </c>
      <c r="L204" s="173">
        <v>0.54</v>
      </c>
      <c r="M204" s="173">
        <v>0.54</v>
      </c>
      <c r="N204" s="173">
        <v>0.54</v>
      </c>
      <c r="O204" s="301"/>
    </row>
    <row r="205" spans="1:15" ht="27" customHeight="1">
      <c r="A205" s="136" t="s">
        <v>208</v>
      </c>
      <c r="B205" s="183" t="s">
        <v>205</v>
      </c>
      <c r="C205" s="115">
        <v>1</v>
      </c>
      <c r="D205" s="131"/>
      <c r="E205" s="131"/>
      <c r="F205" s="131"/>
      <c r="G205" s="184" t="s">
        <v>40</v>
      </c>
      <c r="H205" s="173" t="s">
        <v>40</v>
      </c>
      <c r="I205" s="173"/>
      <c r="J205" s="173"/>
      <c r="K205" s="173">
        <v>1.5</v>
      </c>
      <c r="L205" s="173">
        <v>1.5</v>
      </c>
      <c r="M205" s="173">
        <v>1.5</v>
      </c>
      <c r="N205" s="173">
        <v>1.5</v>
      </c>
      <c r="O205" s="301"/>
    </row>
    <row r="206" spans="1:15" ht="39" customHeight="1">
      <c r="A206" s="136" t="s">
        <v>209</v>
      </c>
      <c r="B206" s="183" t="s">
        <v>205</v>
      </c>
      <c r="C206" s="115">
        <v>1</v>
      </c>
      <c r="D206" s="131"/>
      <c r="E206" s="131"/>
      <c r="F206" s="131"/>
      <c r="G206" s="117">
        <v>18.04</v>
      </c>
      <c r="H206" s="173">
        <v>19.04</v>
      </c>
      <c r="I206" s="173">
        <v>20.7</v>
      </c>
      <c r="J206" s="173">
        <v>20.399999999999999</v>
      </c>
      <c r="K206" s="173">
        <v>22.04</v>
      </c>
      <c r="L206" s="173">
        <v>22.04</v>
      </c>
      <c r="M206" s="173">
        <v>22.04</v>
      </c>
      <c r="N206" s="173">
        <v>22.04</v>
      </c>
      <c r="O206" s="302"/>
    </row>
    <row r="207" spans="1:15" ht="12.75">
      <c r="A207" s="186" t="s">
        <v>137</v>
      </c>
      <c r="B207" s="120"/>
      <c r="C207" s="115"/>
      <c r="D207" s="131"/>
      <c r="E207" s="131"/>
      <c r="F207" s="131"/>
      <c r="G207" s="117"/>
      <c r="H207" s="173"/>
      <c r="I207" s="173"/>
      <c r="J207" s="173"/>
      <c r="K207" s="173"/>
      <c r="L207" s="173"/>
      <c r="M207" s="173"/>
      <c r="N207" s="173"/>
    </row>
    <row r="208" spans="1:15" ht="35.25" customHeight="1">
      <c r="A208" s="136" t="s">
        <v>210</v>
      </c>
      <c r="B208" s="114" t="s">
        <v>211</v>
      </c>
      <c r="C208" s="115">
        <v>1</v>
      </c>
      <c r="D208" s="131"/>
      <c r="E208" s="131"/>
      <c r="F208" s="131"/>
      <c r="G208" s="117">
        <f>1154.44/G6</f>
        <v>18.30120481927711</v>
      </c>
      <c r="H208" s="173">
        <v>17.899999999999999</v>
      </c>
      <c r="I208" s="173">
        <v>18.899999999999999</v>
      </c>
      <c r="J208" s="173">
        <v>19</v>
      </c>
      <c r="K208" s="173">
        <v>19.100000000000001</v>
      </c>
      <c r="L208" s="173">
        <v>19.100000000000001</v>
      </c>
      <c r="M208" s="173">
        <v>19.100000000000001</v>
      </c>
      <c r="N208" s="173">
        <v>19.100000000000001</v>
      </c>
    </row>
    <row r="209" spans="1:19" ht="35.25" customHeight="1">
      <c r="A209" s="136" t="s">
        <v>212</v>
      </c>
      <c r="B209" s="114" t="s">
        <v>213</v>
      </c>
      <c r="C209" s="115">
        <v>1</v>
      </c>
      <c r="D209" s="131"/>
      <c r="E209" s="131"/>
      <c r="F209" s="131"/>
      <c r="G209" s="161">
        <v>338642.9</v>
      </c>
      <c r="H209" s="173">
        <v>404912</v>
      </c>
      <c r="I209" s="173">
        <v>434215</v>
      </c>
      <c r="J209" s="173">
        <v>444173</v>
      </c>
      <c r="K209" s="173">
        <f>J209*1.03</f>
        <v>457498.19</v>
      </c>
      <c r="L209" s="173">
        <f>J209*1.03</f>
        <v>457498.19</v>
      </c>
      <c r="M209" s="173">
        <f>L209*1.04</f>
        <v>475798.1176</v>
      </c>
      <c r="N209" s="173">
        <f>M209*1.04</f>
        <v>494830.042304</v>
      </c>
      <c r="O209" s="167"/>
    </row>
    <row r="210" spans="1:19" ht="35.25" customHeight="1">
      <c r="A210" s="136" t="s">
        <v>214</v>
      </c>
      <c r="B210" s="114" t="s">
        <v>188</v>
      </c>
      <c r="C210" s="115">
        <v>1</v>
      </c>
      <c r="D210" s="131"/>
      <c r="E210" s="131"/>
      <c r="F210" s="131"/>
      <c r="G210" s="187">
        <v>76.3</v>
      </c>
      <c r="H210" s="173">
        <v>40.75</v>
      </c>
      <c r="I210" s="173">
        <v>47.1</v>
      </c>
      <c r="J210" s="173">
        <v>49</v>
      </c>
      <c r="K210" s="173">
        <v>51</v>
      </c>
      <c r="L210" s="173">
        <v>55.7</v>
      </c>
      <c r="M210" s="173">
        <v>55.8</v>
      </c>
      <c r="N210" s="173">
        <v>61</v>
      </c>
      <c r="O210" s="137"/>
    </row>
    <row r="211" spans="1:19" ht="35.25" customHeight="1">
      <c r="A211" s="113" t="s">
        <v>215</v>
      </c>
      <c r="B211" s="114" t="s">
        <v>216</v>
      </c>
      <c r="C211" s="115">
        <v>1</v>
      </c>
      <c r="D211" s="131"/>
      <c r="E211" s="131"/>
      <c r="F211" s="131"/>
      <c r="G211" s="117">
        <v>7.78</v>
      </c>
      <c r="H211" s="173">
        <v>8.27</v>
      </c>
      <c r="I211" s="173">
        <v>8.61</v>
      </c>
      <c r="J211" s="173">
        <v>8.99</v>
      </c>
      <c r="K211" s="173">
        <f>J211+0.3</f>
        <v>9.2900000000000009</v>
      </c>
      <c r="L211" s="173">
        <f>K211+0.3</f>
        <v>9.5900000000000016</v>
      </c>
      <c r="M211" s="173">
        <v>9.89</v>
      </c>
      <c r="N211" s="173">
        <v>10.19</v>
      </c>
    </row>
    <row r="212" spans="1:19" ht="35.25" customHeight="1">
      <c r="A212" s="113" t="s">
        <v>215</v>
      </c>
      <c r="B212" s="114" t="s">
        <v>217</v>
      </c>
      <c r="C212" s="115">
        <v>1</v>
      </c>
      <c r="D212" s="131"/>
      <c r="E212" s="131"/>
      <c r="F212" s="131"/>
      <c r="G212" s="188">
        <f>G211/G6*1000</f>
        <v>123.33544705136336</v>
      </c>
      <c r="H212" s="173">
        <v>123.80239520958084</v>
      </c>
      <c r="I212" s="173">
        <v>126.431718061674</v>
      </c>
      <c r="J212" s="173">
        <f>8994/68400*1000</f>
        <v>131.49122807017542</v>
      </c>
      <c r="K212" s="177">
        <f>K211/K6*1000</f>
        <v>133.24727481353989</v>
      </c>
      <c r="L212" s="177">
        <f>L211/L6*1000</f>
        <v>134.84251968503938</v>
      </c>
      <c r="M212" s="177">
        <f>M211/M6*1000</f>
        <v>136.3761720904578</v>
      </c>
      <c r="N212" s="177">
        <f>N211/N6*1000</f>
        <v>138.03847195881872</v>
      </c>
    </row>
    <row r="213" spans="1:19" ht="12.75">
      <c r="A213" s="189" t="s">
        <v>218</v>
      </c>
      <c r="B213" s="190" t="s">
        <v>213</v>
      </c>
      <c r="C213" s="191"/>
      <c r="D213" s="192"/>
      <c r="E213" s="193"/>
      <c r="F213" s="191"/>
      <c r="G213" s="194"/>
      <c r="H213" s="173">
        <v>640662</v>
      </c>
      <c r="I213" s="173">
        <v>673938.19</v>
      </c>
      <c r="J213" s="173">
        <v>752632</v>
      </c>
      <c r="K213" s="173">
        <v>871557.7</v>
      </c>
      <c r="L213" s="173">
        <v>938753</v>
      </c>
      <c r="M213" s="173">
        <v>997984</v>
      </c>
      <c r="N213" s="173">
        <v>1062684</v>
      </c>
      <c r="R213" s="137"/>
      <c r="S213" s="137"/>
    </row>
    <row r="214" spans="1:19" ht="12.75">
      <c r="A214" s="113" t="s">
        <v>14</v>
      </c>
      <c r="B214" s="120" t="s">
        <v>15</v>
      </c>
      <c r="C214" s="191"/>
      <c r="D214" s="192"/>
      <c r="E214" s="193"/>
      <c r="F214" s="191"/>
      <c r="G214" s="194"/>
      <c r="H214" s="196">
        <v>96.331531236754259</v>
      </c>
      <c r="I214" s="196">
        <v>104.76239239490819</v>
      </c>
      <c r="J214" s="196">
        <f>J213/I213/J215*10000</f>
        <v>98.220501576932392</v>
      </c>
      <c r="K214" s="196">
        <f t="shared" ref="K214:N214" si="33">K213/J213/K215*10000</f>
        <v>108.12447053531673</v>
      </c>
      <c r="L214" s="196">
        <f t="shared" si="33"/>
        <v>101.13595645617512</v>
      </c>
      <c r="M214" s="196">
        <f t="shared" si="33"/>
        <v>101.24718135451523</v>
      </c>
      <c r="N214" s="196">
        <f t="shared" si="33"/>
        <v>101.31595610737928</v>
      </c>
    </row>
    <row r="215" spans="1:19" ht="12.75">
      <c r="A215" s="113" t="s">
        <v>16</v>
      </c>
      <c r="B215" s="120" t="s">
        <v>15</v>
      </c>
      <c r="C215" s="191"/>
      <c r="D215" s="192"/>
      <c r="E215" s="193"/>
      <c r="F215" s="191"/>
      <c r="G215" s="194"/>
      <c r="H215" s="196">
        <v>109.2</v>
      </c>
      <c r="I215" s="196">
        <v>106.6</v>
      </c>
      <c r="J215" s="196">
        <v>113.7</v>
      </c>
      <c r="K215" s="196">
        <v>107.1</v>
      </c>
      <c r="L215" s="196">
        <v>106.5</v>
      </c>
      <c r="M215" s="196">
        <v>105</v>
      </c>
      <c r="N215" s="196">
        <v>105.1</v>
      </c>
      <c r="O215" s="137"/>
    </row>
    <row r="216" spans="1:19" ht="18.75">
      <c r="A216" s="197"/>
      <c r="B216" s="198"/>
      <c r="C216" s="199"/>
      <c r="D216" s="200"/>
      <c r="E216" s="201"/>
      <c r="F216" s="199"/>
      <c r="K216" s="247"/>
      <c r="M216" s="194"/>
      <c r="N216" s="194"/>
    </row>
    <row r="217" spans="1:19" ht="28.5" customHeight="1">
      <c r="A217" s="379" t="s">
        <v>284</v>
      </c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  <c r="M217" s="379"/>
      <c r="N217" s="379"/>
      <c r="O217" s="379"/>
      <c r="P217" s="379"/>
    </row>
    <row r="218" spans="1:19" ht="16.5" customHeight="1">
      <c r="A218" s="203"/>
      <c r="B218" s="203"/>
      <c r="C218" s="203"/>
      <c r="D218" s="203"/>
      <c r="E218" s="203"/>
      <c r="F218" s="203"/>
      <c r="G218" s="203"/>
      <c r="H218" s="246"/>
      <c r="I218" s="246"/>
      <c r="J218" s="246"/>
      <c r="K218" s="246"/>
      <c r="L218" s="246"/>
      <c r="M218" s="246"/>
      <c r="N218" s="246"/>
    </row>
    <row r="219" spans="1:19" ht="16.5" customHeight="1">
      <c r="A219" s="203"/>
      <c r="B219" s="203"/>
      <c r="C219" s="203"/>
      <c r="D219" s="203"/>
      <c r="E219" s="203"/>
      <c r="F219" s="203"/>
      <c r="G219" s="203"/>
      <c r="H219" s="246"/>
      <c r="I219" s="246"/>
      <c r="J219" s="246"/>
      <c r="K219" s="246"/>
      <c r="L219" s="246"/>
      <c r="M219" s="246"/>
      <c r="N219" s="246"/>
    </row>
    <row r="220" spans="1:19" ht="16.5" customHeight="1">
      <c r="A220" s="203"/>
      <c r="B220" s="203"/>
      <c r="C220" s="203"/>
      <c r="D220" s="203"/>
      <c r="E220" s="203"/>
      <c r="F220" s="203"/>
      <c r="G220" s="203"/>
      <c r="H220" s="246"/>
      <c r="I220" s="246"/>
      <c r="J220" s="246"/>
      <c r="K220" s="246"/>
      <c r="L220" s="246"/>
      <c r="M220" s="246"/>
      <c r="N220" s="246"/>
    </row>
    <row r="221" spans="1:19" ht="56.25" customHeight="1">
      <c r="A221" s="203"/>
      <c r="B221" s="203"/>
      <c r="C221" s="203"/>
      <c r="D221" s="203"/>
      <c r="E221" s="203"/>
      <c r="F221" s="203"/>
      <c r="G221" s="203"/>
      <c r="H221" s="246"/>
      <c r="I221" s="246"/>
      <c r="J221" s="246"/>
      <c r="K221" s="246"/>
      <c r="L221" s="246"/>
      <c r="M221" s="246"/>
      <c r="N221" s="246"/>
    </row>
    <row r="222" spans="1:19" ht="56.25" customHeight="1">
      <c r="A222" s="203"/>
      <c r="B222" s="203"/>
      <c r="C222" s="203"/>
      <c r="D222" s="203"/>
      <c r="E222" s="203"/>
      <c r="F222" s="203"/>
      <c r="G222" s="203"/>
      <c r="H222" s="246"/>
      <c r="I222" s="246"/>
      <c r="J222" s="246"/>
      <c r="K222" s="246"/>
      <c r="L222" s="246"/>
      <c r="M222" s="246"/>
      <c r="N222" s="246"/>
    </row>
    <row r="223" spans="1:19" ht="56.25" customHeight="1">
      <c r="A223" s="203"/>
      <c r="B223" s="203"/>
      <c r="C223" s="203"/>
      <c r="D223" s="203"/>
      <c r="E223" s="203"/>
      <c r="F223" s="203"/>
      <c r="G223" s="203"/>
      <c r="H223" s="246"/>
      <c r="I223" s="246"/>
      <c r="J223" s="246"/>
      <c r="K223" s="246"/>
      <c r="L223" s="246"/>
      <c r="M223" s="246"/>
      <c r="N223" s="246"/>
    </row>
    <row r="224" spans="1:19" ht="56.25" customHeight="1">
      <c r="A224" s="203"/>
      <c r="B224" s="203"/>
      <c r="C224" s="203"/>
      <c r="D224" s="203"/>
      <c r="E224" s="203"/>
      <c r="F224" s="203"/>
      <c r="G224" s="203"/>
      <c r="H224" s="246"/>
      <c r="I224" s="246"/>
      <c r="J224" s="246"/>
      <c r="K224" s="246"/>
      <c r="L224" s="246"/>
      <c r="M224" s="246"/>
      <c r="N224" s="246"/>
    </row>
    <row r="225" spans="1:14" ht="56.25" customHeight="1">
      <c r="A225" s="203"/>
      <c r="B225" s="203"/>
      <c r="C225" s="203"/>
      <c r="D225" s="203"/>
      <c r="E225" s="203"/>
      <c r="F225" s="203"/>
      <c r="G225" s="203"/>
      <c r="H225" s="246"/>
      <c r="I225" s="246"/>
      <c r="J225" s="246"/>
      <c r="K225" s="246"/>
      <c r="L225" s="246"/>
      <c r="M225" s="246"/>
      <c r="N225" s="246"/>
    </row>
    <row r="226" spans="1:14" ht="18.75">
      <c r="A226" s="204"/>
      <c r="B226" s="198"/>
      <c r="C226" s="199"/>
      <c r="D226" s="200"/>
      <c r="E226" s="201"/>
      <c r="F226" s="199"/>
      <c r="G226" s="202"/>
      <c r="H226" s="194"/>
      <c r="I226" s="194"/>
      <c r="J226" s="194"/>
      <c r="K226" s="194"/>
      <c r="L226" s="194"/>
      <c r="M226" s="194"/>
      <c r="N226" s="194"/>
    </row>
    <row r="227" spans="1:14" ht="18.75">
      <c r="A227" s="204"/>
      <c r="B227" s="198"/>
      <c r="C227" s="199"/>
      <c r="D227" s="200"/>
      <c r="E227" s="201"/>
      <c r="F227" s="199"/>
      <c r="G227" s="202"/>
      <c r="H227" s="194"/>
      <c r="I227" s="194"/>
      <c r="J227" s="194"/>
      <c r="K227" s="194"/>
      <c r="L227" s="194"/>
      <c r="M227" s="194"/>
      <c r="N227" s="194"/>
    </row>
    <row r="228" spans="1:14" ht="18.75">
      <c r="A228" s="204"/>
      <c r="B228" s="198"/>
      <c r="C228" s="199"/>
      <c r="D228" s="200"/>
      <c r="E228" s="201"/>
      <c r="F228" s="199"/>
      <c r="G228" s="202"/>
      <c r="H228" s="194"/>
      <c r="I228" s="194"/>
      <c r="J228" s="194"/>
      <c r="K228" s="194"/>
      <c r="L228" s="194"/>
      <c r="M228" s="194"/>
      <c r="N228" s="194"/>
    </row>
    <row r="229" spans="1:14" ht="18.75">
      <c r="A229" s="204"/>
      <c r="B229" s="198"/>
      <c r="C229" s="199"/>
      <c r="D229" s="200"/>
      <c r="E229" s="201"/>
      <c r="F229" s="199"/>
      <c r="G229" s="202"/>
      <c r="H229" s="194"/>
      <c r="I229" s="194"/>
      <c r="J229" s="194"/>
      <c r="K229" s="194"/>
      <c r="L229" s="194"/>
      <c r="M229" s="194"/>
      <c r="N229" s="194"/>
    </row>
    <row r="230" spans="1:14" ht="18.75">
      <c r="A230" s="204"/>
      <c r="B230" s="198"/>
      <c r="C230" s="199"/>
      <c r="D230" s="200"/>
      <c r="E230" s="201"/>
      <c r="F230" s="199"/>
      <c r="G230" s="202"/>
      <c r="H230" s="194"/>
      <c r="I230" s="194"/>
      <c r="J230" s="194"/>
      <c r="K230" s="194"/>
      <c r="L230" s="194"/>
      <c r="M230" s="194"/>
      <c r="N230" s="194"/>
    </row>
    <row r="231" spans="1:14">
      <c r="A231" s="198"/>
      <c r="B231" s="198"/>
      <c r="C231" s="199"/>
      <c r="D231" s="200"/>
      <c r="E231" s="201"/>
      <c r="F231" s="199"/>
      <c r="G231" s="202"/>
      <c r="H231" s="194"/>
      <c r="I231" s="194"/>
      <c r="J231" s="194"/>
      <c r="K231" s="194"/>
      <c r="L231" s="194"/>
      <c r="M231" s="194"/>
      <c r="N231" s="194"/>
    </row>
    <row r="232" spans="1:14">
      <c r="A232" s="198"/>
      <c r="B232" s="198"/>
      <c r="C232" s="199"/>
      <c r="D232" s="200"/>
      <c r="E232" s="201"/>
      <c r="F232" s="199"/>
      <c r="G232" s="202"/>
      <c r="H232" s="194"/>
      <c r="I232" s="194"/>
      <c r="J232" s="194"/>
      <c r="K232" s="194"/>
      <c r="L232" s="194"/>
      <c r="M232" s="194"/>
      <c r="N232" s="194"/>
    </row>
    <row r="233" spans="1:14">
      <c r="A233" s="198"/>
      <c r="B233" s="198"/>
      <c r="C233" s="199"/>
      <c r="D233" s="200"/>
      <c r="E233" s="201"/>
      <c r="F233" s="199"/>
      <c r="G233" s="202"/>
      <c r="H233" s="194"/>
      <c r="I233" s="194"/>
      <c r="J233" s="194"/>
      <c r="K233" s="194"/>
      <c r="L233" s="194"/>
      <c r="M233" s="194"/>
      <c r="N233" s="194"/>
    </row>
    <row r="234" spans="1:14" ht="12.75">
      <c r="A234" s="198"/>
      <c r="B234" s="198"/>
      <c r="C234" s="199"/>
      <c r="D234" s="200"/>
      <c r="E234" s="201"/>
      <c r="F234" s="199"/>
      <c r="G234" s="205">
        <v>77.86</v>
      </c>
      <c r="H234" s="245">
        <v>80.400000000000006</v>
      </c>
      <c r="I234" s="244"/>
      <c r="J234" s="244">
        <f>80.4+1.35</f>
        <v>81.75</v>
      </c>
      <c r="K234" s="244"/>
      <c r="L234" s="244"/>
      <c r="M234" s="243">
        <f>J234+1.45</f>
        <v>83.2</v>
      </c>
      <c r="N234" s="243"/>
    </row>
    <row r="235" spans="1:14">
      <c r="A235" s="198"/>
      <c r="B235" s="198"/>
      <c r="C235" s="199"/>
      <c r="D235" s="200"/>
      <c r="E235" s="201"/>
      <c r="F235" s="199"/>
      <c r="G235" s="202"/>
      <c r="H235" s="194"/>
      <c r="I235" s="194"/>
      <c r="J235" s="194"/>
      <c r="K235" s="194"/>
      <c r="L235" s="194"/>
      <c r="M235" s="194"/>
      <c r="N235" s="194"/>
    </row>
    <row r="236" spans="1:14">
      <c r="A236" s="198"/>
      <c r="B236" s="198"/>
      <c r="C236" s="199"/>
      <c r="D236" s="200"/>
      <c r="E236" s="201"/>
      <c r="F236" s="199"/>
      <c r="G236" s="202"/>
      <c r="H236" s="194"/>
      <c r="I236" s="194"/>
      <c r="J236" s="194"/>
      <c r="K236" s="194"/>
      <c r="L236" s="194"/>
      <c r="M236" s="194"/>
      <c r="N236" s="194"/>
    </row>
    <row r="237" spans="1:14">
      <c r="A237" s="198"/>
      <c r="B237" s="198"/>
      <c r="C237" s="199"/>
      <c r="D237" s="200"/>
      <c r="E237" s="201"/>
      <c r="F237" s="199"/>
      <c r="G237" s="202"/>
      <c r="H237" s="194"/>
      <c r="I237" s="194"/>
      <c r="J237" s="194"/>
      <c r="K237" s="194"/>
      <c r="L237" s="194"/>
      <c r="M237" s="194"/>
      <c r="N237" s="194"/>
    </row>
    <row r="238" spans="1:14">
      <c r="A238" s="198"/>
      <c r="B238" s="198"/>
      <c r="C238" s="199"/>
      <c r="D238" s="200"/>
      <c r="E238" s="201"/>
      <c r="F238" s="199"/>
      <c r="G238" s="202"/>
      <c r="H238" s="194"/>
      <c r="I238" s="194"/>
      <c r="J238" s="194"/>
      <c r="K238" s="194"/>
      <c r="L238" s="194"/>
      <c r="M238" s="194"/>
      <c r="N238" s="194"/>
    </row>
    <row r="239" spans="1:14">
      <c r="A239" s="198"/>
      <c r="B239" s="198"/>
      <c r="C239" s="199"/>
      <c r="D239" s="200"/>
      <c r="E239" s="201"/>
      <c r="F239" s="199"/>
      <c r="G239" s="202"/>
      <c r="H239" s="194"/>
      <c r="I239" s="194"/>
      <c r="J239" s="194"/>
      <c r="K239" s="194"/>
      <c r="L239" s="194"/>
      <c r="M239" s="194"/>
      <c r="N239" s="194"/>
    </row>
    <row r="240" spans="1:14">
      <c r="A240" s="198"/>
      <c r="B240" s="198"/>
      <c r="C240" s="199"/>
      <c r="D240" s="200"/>
      <c r="E240" s="201"/>
      <c r="F240" s="199"/>
      <c r="G240" s="202"/>
      <c r="H240" s="194"/>
      <c r="I240" s="194"/>
      <c r="J240" s="194"/>
      <c r="K240" s="194"/>
      <c r="L240" s="194"/>
      <c r="M240" s="194"/>
      <c r="N240" s="194"/>
    </row>
    <row r="241" spans="1:14">
      <c r="A241" s="198"/>
      <c r="B241" s="198"/>
      <c r="C241" s="199"/>
      <c r="D241" s="200"/>
      <c r="E241" s="201"/>
      <c r="F241" s="199"/>
      <c r="G241" s="202"/>
      <c r="H241" s="194"/>
      <c r="I241" s="194"/>
      <c r="J241" s="194"/>
      <c r="K241" s="194"/>
      <c r="L241" s="194"/>
      <c r="M241" s="194"/>
      <c r="N241" s="194"/>
    </row>
    <row r="242" spans="1:14">
      <c r="A242" s="198"/>
      <c r="B242" s="198"/>
      <c r="C242" s="199"/>
      <c r="D242" s="200"/>
      <c r="E242" s="201"/>
      <c r="F242" s="199"/>
      <c r="G242" s="202"/>
      <c r="H242" s="194"/>
      <c r="I242" s="194"/>
      <c r="J242" s="194"/>
      <c r="K242" s="194"/>
      <c r="L242" s="194"/>
      <c r="M242" s="194"/>
      <c r="N242" s="194"/>
    </row>
    <row r="243" spans="1:14">
      <c r="A243" s="198"/>
      <c r="B243" s="198"/>
      <c r="C243" s="199"/>
      <c r="D243" s="200"/>
      <c r="E243" s="201"/>
      <c r="F243" s="199"/>
      <c r="G243" s="202"/>
      <c r="H243" s="194"/>
      <c r="I243" s="194"/>
      <c r="J243" s="194"/>
      <c r="K243" s="194"/>
      <c r="L243" s="194"/>
      <c r="M243" s="194"/>
      <c r="N243" s="194"/>
    </row>
    <row r="244" spans="1:14">
      <c r="A244" s="198"/>
      <c r="B244" s="198"/>
      <c r="C244" s="199"/>
      <c r="D244" s="200"/>
      <c r="E244" s="201"/>
      <c r="F244" s="199"/>
      <c r="G244" s="202"/>
      <c r="H244" s="194"/>
      <c r="I244" s="194"/>
      <c r="J244" s="194"/>
      <c r="K244" s="194"/>
      <c r="L244" s="194"/>
      <c r="M244" s="194"/>
      <c r="N244" s="194"/>
    </row>
    <row r="245" spans="1:14">
      <c r="A245" s="198"/>
      <c r="B245" s="198"/>
      <c r="C245" s="199"/>
      <c r="D245" s="200"/>
      <c r="E245" s="201"/>
      <c r="F245" s="199"/>
      <c r="G245" s="202"/>
      <c r="H245" s="194"/>
      <c r="I245" s="194"/>
      <c r="J245" s="194"/>
      <c r="K245" s="194"/>
      <c r="L245" s="194"/>
      <c r="M245" s="194"/>
      <c r="N245" s="194"/>
    </row>
    <row r="246" spans="1:14">
      <c r="A246" s="198"/>
      <c r="B246" s="198"/>
      <c r="C246" s="199"/>
      <c r="D246" s="200"/>
      <c r="E246" s="201"/>
      <c r="F246" s="199"/>
      <c r="G246" s="202"/>
      <c r="H246" s="194"/>
      <c r="I246" s="194"/>
      <c r="J246" s="194"/>
      <c r="K246" s="194"/>
      <c r="L246" s="194"/>
      <c r="M246" s="194"/>
      <c r="N246" s="194"/>
    </row>
    <row r="247" spans="1:14">
      <c r="A247" s="198"/>
      <c r="B247" s="198"/>
      <c r="C247" s="199"/>
      <c r="D247" s="200"/>
      <c r="E247" s="201"/>
      <c r="F247" s="199"/>
      <c r="G247" s="202"/>
      <c r="H247" s="194"/>
      <c r="I247" s="194"/>
      <c r="J247" s="194"/>
      <c r="K247" s="194"/>
      <c r="L247" s="194"/>
      <c r="M247" s="194"/>
      <c r="N247" s="194"/>
    </row>
    <row r="248" spans="1:14">
      <c r="A248" s="198"/>
      <c r="B248" s="198"/>
      <c r="C248" s="199"/>
      <c r="D248" s="200"/>
      <c r="E248" s="201"/>
      <c r="F248" s="199"/>
      <c r="G248" s="202"/>
      <c r="H248" s="194"/>
      <c r="I248" s="194"/>
      <c r="J248" s="194"/>
      <c r="K248" s="194"/>
      <c r="L248" s="194"/>
      <c r="M248" s="194"/>
      <c r="N248" s="194"/>
    </row>
    <row r="249" spans="1:14">
      <c r="A249" s="198"/>
      <c r="B249" s="198"/>
      <c r="C249" s="199"/>
      <c r="D249" s="200"/>
      <c r="E249" s="201"/>
      <c r="F249" s="199"/>
      <c r="G249" s="202"/>
      <c r="H249" s="194"/>
      <c r="I249" s="194"/>
      <c r="J249" s="194"/>
      <c r="K249" s="194"/>
      <c r="L249" s="194"/>
      <c r="M249" s="194"/>
      <c r="N249" s="194"/>
    </row>
    <row r="250" spans="1:14">
      <c r="A250" s="198"/>
      <c r="B250" s="198"/>
      <c r="C250" s="199"/>
      <c r="D250" s="200"/>
      <c r="E250" s="201"/>
      <c r="F250" s="199"/>
      <c r="G250" s="202"/>
      <c r="H250" s="194"/>
      <c r="I250" s="194"/>
      <c r="J250" s="194"/>
      <c r="K250" s="194"/>
      <c r="L250" s="194"/>
      <c r="M250" s="194"/>
      <c r="N250" s="194"/>
    </row>
    <row r="251" spans="1:14">
      <c r="A251" s="198"/>
      <c r="B251" s="198"/>
      <c r="C251" s="199"/>
      <c r="D251" s="200"/>
      <c r="E251" s="201"/>
      <c r="F251" s="199"/>
      <c r="G251" s="202"/>
      <c r="H251" s="194"/>
      <c r="I251" s="194"/>
      <c r="J251" s="194"/>
      <c r="K251" s="194"/>
      <c r="L251" s="194"/>
      <c r="M251" s="194"/>
      <c r="N251" s="194"/>
    </row>
    <row r="252" spans="1:14">
      <c r="A252" s="198"/>
      <c r="B252" s="198"/>
      <c r="C252" s="199"/>
      <c r="D252" s="200"/>
      <c r="E252" s="201"/>
      <c r="F252" s="199"/>
      <c r="G252" s="202"/>
      <c r="H252" s="194"/>
      <c r="I252" s="194"/>
      <c r="J252" s="194"/>
      <c r="K252" s="194"/>
      <c r="L252" s="194"/>
      <c r="M252" s="194"/>
      <c r="N252" s="194"/>
    </row>
    <row r="253" spans="1:14">
      <c r="A253" s="198"/>
      <c r="B253" s="198"/>
      <c r="C253" s="199"/>
      <c r="D253" s="200"/>
      <c r="E253" s="201"/>
      <c r="F253" s="199"/>
      <c r="G253" s="202"/>
      <c r="H253" s="194"/>
      <c r="I253" s="194"/>
      <c r="J253" s="194"/>
      <c r="K253" s="194"/>
      <c r="L253" s="194"/>
      <c r="M253" s="194"/>
      <c r="N253" s="194"/>
    </row>
    <row r="254" spans="1:14">
      <c r="A254" s="198"/>
      <c r="B254" s="198"/>
      <c r="C254" s="199"/>
      <c r="D254" s="200"/>
      <c r="E254" s="201"/>
      <c r="F254" s="199"/>
      <c r="G254" s="202"/>
      <c r="H254" s="194"/>
      <c r="I254" s="194"/>
      <c r="J254" s="194"/>
      <c r="K254" s="194"/>
      <c r="L254" s="194"/>
      <c r="M254" s="194"/>
      <c r="N254" s="194"/>
    </row>
    <row r="255" spans="1:14">
      <c r="A255" s="198"/>
      <c r="B255" s="198"/>
      <c r="C255" s="199"/>
      <c r="D255" s="200"/>
      <c r="E255" s="201"/>
      <c r="F255" s="199"/>
      <c r="G255" s="202"/>
      <c r="H255" s="194"/>
      <c r="I255" s="194"/>
      <c r="J255" s="194"/>
      <c r="K255" s="194"/>
      <c r="L255" s="194"/>
      <c r="M255" s="194"/>
      <c r="N255" s="194"/>
    </row>
    <row r="256" spans="1:14">
      <c r="A256" s="198"/>
      <c r="B256" s="198"/>
      <c r="C256" s="199"/>
      <c r="D256" s="200"/>
      <c r="E256" s="201"/>
      <c r="F256" s="199"/>
      <c r="G256" s="202"/>
      <c r="H256" s="194"/>
      <c r="I256" s="194"/>
      <c r="J256" s="194"/>
      <c r="K256" s="194"/>
      <c r="L256" s="194"/>
      <c r="M256" s="194"/>
      <c r="N256" s="194"/>
    </row>
    <row r="257" spans="1:14">
      <c r="A257" s="198"/>
      <c r="B257" s="198"/>
      <c r="C257" s="199"/>
      <c r="D257" s="200"/>
      <c r="E257" s="201"/>
      <c r="F257" s="199"/>
      <c r="G257" s="202"/>
      <c r="H257" s="194"/>
      <c r="I257" s="194"/>
      <c r="J257" s="194"/>
      <c r="K257" s="194"/>
      <c r="L257" s="194"/>
      <c r="M257" s="194"/>
      <c r="N257" s="194"/>
    </row>
    <row r="258" spans="1:14">
      <c r="A258" s="198"/>
      <c r="B258" s="198"/>
      <c r="C258" s="199"/>
      <c r="D258" s="200"/>
      <c r="E258" s="201"/>
      <c r="F258" s="199"/>
      <c r="G258" s="202"/>
      <c r="H258" s="194"/>
      <c r="I258" s="194"/>
      <c r="J258" s="194"/>
      <c r="K258" s="194"/>
      <c r="L258" s="194"/>
      <c r="M258" s="194"/>
      <c r="N258" s="194"/>
    </row>
    <row r="259" spans="1:14">
      <c r="A259" s="198"/>
      <c r="B259" s="198"/>
      <c r="C259" s="199"/>
      <c r="D259" s="200"/>
      <c r="E259" s="201"/>
      <c r="F259" s="199"/>
      <c r="G259" s="202"/>
      <c r="H259" s="194"/>
      <c r="I259" s="194"/>
      <c r="J259" s="194"/>
      <c r="K259" s="194"/>
      <c r="L259" s="194"/>
      <c r="M259" s="194"/>
      <c r="N259" s="194"/>
    </row>
    <row r="260" spans="1:14">
      <c r="A260" s="198"/>
      <c r="B260" s="198"/>
      <c r="C260" s="199"/>
      <c r="D260" s="200"/>
      <c r="E260" s="201"/>
      <c r="F260" s="199"/>
      <c r="G260" s="202"/>
      <c r="H260" s="194"/>
      <c r="I260" s="194"/>
      <c r="J260" s="194"/>
      <c r="K260" s="194"/>
      <c r="L260" s="194"/>
      <c r="M260" s="194"/>
      <c r="N260" s="194"/>
    </row>
    <row r="261" spans="1:14">
      <c r="A261" s="198"/>
      <c r="B261" s="198"/>
      <c r="C261" s="199"/>
      <c r="D261" s="200"/>
      <c r="E261" s="201"/>
      <c r="F261" s="199"/>
      <c r="G261" s="202"/>
      <c r="H261" s="194"/>
      <c r="I261" s="194"/>
      <c r="J261" s="194"/>
      <c r="K261" s="194"/>
      <c r="L261" s="194"/>
      <c r="M261" s="194"/>
      <c r="N261" s="194"/>
    </row>
    <row r="262" spans="1:14">
      <c r="A262" s="198"/>
      <c r="B262" s="198"/>
      <c r="C262" s="199"/>
      <c r="D262" s="200"/>
      <c r="E262" s="201"/>
      <c r="F262" s="199"/>
      <c r="G262" s="202"/>
      <c r="H262" s="194"/>
      <c r="I262" s="194"/>
      <c r="J262" s="194"/>
      <c r="K262" s="194"/>
      <c r="L262" s="194"/>
      <c r="M262" s="194"/>
      <c r="N262" s="194"/>
    </row>
    <row r="263" spans="1:14">
      <c r="A263" s="198"/>
      <c r="B263" s="198"/>
      <c r="C263" s="199"/>
      <c r="D263" s="200"/>
      <c r="E263" s="201"/>
      <c r="F263" s="199"/>
      <c r="G263" s="202"/>
      <c r="H263" s="194"/>
      <c r="I263" s="194"/>
      <c r="J263" s="194"/>
      <c r="K263" s="194"/>
      <c r="L263" s="194"/>
      <c r="M263" s="194"/>
      <c r="N263" s="194"/>
    </row>
    <row r="264" spans="1:14">
      <c r="A264" s="198"/>
      <c r="B264" s="198"/>
      <c r="C264" s="199"/>
      <c r="D264" s="200"/>
      <c r="E264" s="201"/>
      <c r="F264" s="199"/>
      <c r="G264" s="202"/>
      <c r="H264" s="194"/>
      <c r="I264" s="194"/>
      <c r="J264" s="194"/>
      <c r="K264" s="194"/>
      <c r="L264" s="194"/>
      <c r="M264" s="194"/>
      <c r="N264" s="194"/>
    </row>
    <row r="265" spans="1:14">
      <c r="A265" s="198"/>
      <c r="B265" s="198"/>
      <c r="C265" s="199"/>
      <c r="D265" s="200"/>
      <c r="E265" s="201"/>
      <c r="F265" s="199"/>
      <c r="G265" s="202"/>
      <c r="H265" s="194"/>
      <c r="I265" s="194"/>
      <c r="J265" s="194"/>
      <c r="K265" s="194"/>
      <c r="L265" s="194"/>
      <c r="M265" s="194"/>
      <c r="N265" s="194"/>
    </row>
    <row r="266" spans="1:14">
      <c r="A266" s="198"/>
      <c r="B266" s="198"/>
      <c r="C266" s="199"/>
      <c r="D266" s="200"/>
      <c r="E266" s="201"/>
      <c r="F266" s="199"/>
      <c r="G266" s="202"/>
      <c r="H266" s="194"/>
      <c r="I266" s="194"/>
      <c r="J266" s="194"/>
      <c r="K266" s="194"/>
      <c r="L266" s="194"/>
      <c r="M266" s="194"/>
      <c r="N266" s="194"/>
    </row>
    <row r="267" spans="1:14">
      <c r="A267" s="198"/>
      <c r="B267" s="198"/>
      <c r="C267" s="199"/>
      <c r="D267" s="200"/>
      <c r="E267" s="201"/>
      <c r="F267" s="199"/>
      <c r="G267" s="202"/>
      <c r="H267" s="194"/>
      <c r="I267" s="194"/>
      <c r="J267" s="194"/>
      <c r="K267" s="194"/>
      <c r="L267" s="194"/>
      <c r="M267" s="194"/>
      <c r="N267" s="194"/>
    </row>
    <row r="268" spans="1:14">
      <c r="A268" s="198"/>
      <c r="B268" s="198"/>
      <c r="C268" s="199"/>
      <c r="D268" s="200"/>
      <c r="E268" s="201"/>
      <c r="F268" s="199"/>
      <c r="G268" s="202"/>
      <c r="H268" s="194"/>
      <c r="I268" s="194"/>
      <c r="J268" s="194"/>
      <c r="K268" s="194"/>
      <c r="L268" s="194"/>
      <c r="M268" s="194"/>
      <c r="N268" s="194"/>
    </row>
    <row r="269" spans="1:14">
      <c r="A269" s="198"/>
      <c r="B269" s="198"/>
      <c r="C269" s="199"/>
      <c r="D269" s="200"/>
      <c r="E269" s="201"/>
      <c r="F269" s="199"/>
      <c r="G269" s="202"/>
      <c r="H269" s="194"/>
      <c r="I269" s="194"/>
      <c r="J269" s="194"/>
      <c r="K269" s="194"/>
      <c r="L269" s="194"/>
      <c r="M269" s="194"/>
      <c r="N269" s="194"/>
    </row>
    <row r="270" spans="1:14">
      <c r="A270" s="198"/>
      <c r="B270" s="198"/>
      <c r="C270" s="199"/>
      <c r="D270" s="200"/>
      <c r="E270" s="201"/>
      <c r="F270" s="199"/>
      <c r="G270" s="202"/>
      <c r="H270" s="194"/>
      <c r="I270" s="194"/>
      <c r="J270" s="194"/>
      <c r="K270" s="194"/>
      <c r="L270" s="194"/>
      <c r="M270" s="194"/>
      <c r="N270" s="194"/>
    </row>
  </sheetData>
  <mergeCells count="14">
    <mergeCell ref="L3:L4"/>
    <mergeCell ref="M3:M4"/>
    <mergeCell ref="N3:N4"/>
    <mergeCell ref="A217:P217"/>
    <mergeCell ref="A1:N1"/>
    <mergeCell ref="A2:A4"/>
    <mergeCell ref="B2:B4"/>
    <mergeCell ref="H2:J2"/>
    <mergeCell ref="L2:N2"/>
    <mergeCell ref="G3:G4"/>
    <mergeCell ref="H3:H4"/>
    <mergeCell ref="I3:I4"/>
    <mergeCell ref="J3:J4"/>
    <mergeCell ref="K3:K4"/>
  </mergeCells>
  <conditionalFormatting sqref="G109:G110 A109:A110">
    <cfRule type="expression" dxfId="17" priority="6">
      <formula>#REF!&lt;#REF!</formula>
    </cfRule>
  </conditionalFormatting>
  <conditionalFormatting sqref="G129:G150">
    <cfRule type="expression" dxfId="16" priority="5">
      <formula>H$234&lt;&gt;SUM(H$235,H$239,H$244:H$249,H$254)</formula>
    </cfRule>
  </conditionalFormatting>
  <conditionalFormatting sqref="G134:G138">
    <cfRule type="expression" dxfId="15" priority="4">
      <formula>H$239&lt;&gt;SUM(H$240:H$243)</formula>
    </cfRule>
  </conditionalFormatting>
  <conditionalFormatting sqref="G144:G149">
    <cfRule type="expression" dxfId="14" priority="3">
      <formula>H$249&lt;&gt;SUM(H$250:H$253)</formula>
    </cfRule>
  </conditionalFormatting>
  <conditionalFormatting sqref="G105:G108">
    <cfRule type="expression" dxfId="13" priority="2">
      <formula>#REF!&lt;&gt;SUM(H$211:H$213)</formula>
    </cfRule>
  </conditionalFormatting>
  <conditionalFormatting sqref="G103:G104">
    <cfRule type="expression" dxfId="12" priority="1">
      <formula>G$208&lt;&gt;SUM(G$209:G$210)</formula>
    </cfRule>
  </conditionalFormatting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5"/>
  <sheetViews>
    <sheetView zoomScale="85" zoomScaleNormal="85" workbookViewId="0">
      <pane ySplit="2" topLeftCell="A3" activePane="bottomLeft" state="frozen"/>
      <selection pane="bottomLeft" activeCell="P7" sqref="P7"/>
    </sheetView>
  </sheetViews>
  <sheetFormatPr defaultRowHeight="15"/>
  <cols>
    <col min="1" max="1" width="6.28515625" customWidth="1"/>
    <col min="2" max="2" width="45.85546875" customWidth="1"/>
    <col min="3" max="3" width="8.85546875" customWidth="1"/>
    <col min="4" max="4" width="10.85546875" style="351" customWidth="1"/>
    <col min="5" max="5" width="12.42578125" customWidth="1"/>
    <col min="6" max="6" width="9.28515625" customWidth="1"/>
    <col min="7" max="7" width="9.7109375" bestFit="1" customWidth="1"/>
    <col min="11" max="11" width="16.7109375" customWidth="1"/>
  </cols>
  <sheetData>
    <row r="1" spans="1:7" s="265" customFormat="1" ht="56.25" customHeight="1">
      <c r="A1" s="264"/>
      <c r="B1" s="406" t="s">
        <v>287</v>
      </c>
      <c r="C1" s="406"/>
      <c r="D1" s="406"/>
      <c r="E1" s="406"/>
      <c r="F1" s="406"/>
    </row>
    <row r="2" spans="1:7" s="268" customFormat="1" ht="56.25" customHeight="1">
      <c r="A2" s="266" t="s">
        <v>232</v>
      </c>
      <c r="B2" s="266" t="s">
        <v>233</v>
      </c>
      <c r="C2" s="266" t="s">
        <v>234</v>
      </c>
      <c r="D2" s="330" t="s">
        <v>288</v>
      </c>
      <c r="E2" s="330" t="s">
        <v>289</v>
      </c>
      <c r="F2" s="331" t="s">
        <v>290</v>
      </c>
      <c r="G2" s="332" t="s">
        <v>291</v>
      </c>
    </row>
    <row r="3" spans="1:7" s="273" customFormat="1" ht="34.5" customHeight="1">
      <c r="A3" s="269">
        <v>1</v>
      </c>
      <c r="B3" s="270" t="s">
        <v>235</v>
      </c>
      <c r="C3" s="271" t="s">
        <v>213</v>
      </c>
      <c r="D3" s="271">
        <v>1329322</v>
      </c>
      <c r="E3" s="271">
        <v>1437882</v>
      </c>
      <c r="F3" s="333">
        <f>E3-D3</f>
        <v>108560</v>
      </c>
      <c r="G3" s="334">
        <f>E3/D3*100</f>
        <v>108.16656912320717</v>
      </c>
    </row>
    <row r="4" spans="1:7" ht="15" customHeight="1">
      <c r="A4" s="269">
        <v>2</v>
      </c>
      <c r="B4" s="270" t="s">
        <v>236</v>
      </c>
      <c r="C4" s="271" t="s">
        <v>213</v>
      </c>
      <c r="D4" s="271">
        <f t="shared" ref="D4:E4" si="0">D5+D6</f>
        <v>3496122</v>
      </c>
      <c r="E4" s="335">
        <f t="shared" si="0"/>
        <v>4417934</v>
      </c>
      <c r="F4" s="333">
        <f t="shared" ref="F4:F6" si="1">E4-D4</f>
        <v>921812</v>
      </c>
      <c r="G4" s="334">
        <f t="shared" ref="G4:G6" si="2">E4/D4*100</f>
        <v>126.36670001790556</v>
      </c>
    </row>
    <row r="5" spans="1:7" ht="20.25" customHeight="1">
      <c r="A5" s="269" t="s">
        <v>237</v>
      </c>
      <c r="B5" s="274" t="s">
        <v>238</v>
      </c>
      <c r="C5" s="271" t="s">
        <v>213</v>
      </c>
      <c r="D5" s="271">
        <v>2385392</v>
      </c>
      <c r="E5" s="335">
        <v>3167759</v>
      </c>
      <c r="F5" s="333">
        <f t="shared" si="1"/>
        <v>782367</v>
      </c>
      <c r="G5" s="334">
        <f t="shared" si="2"/>
        <v>132.79825705795943</v>
      </c>
    </row>
    <row r="6" spans="1:7" ht="20.25" customHeight="1">
      <c r="A6" s="269" t="s">
        <v>239</v>
      </c>
      <c r="B6" s="274" t="s">
        <v>240</v>
      </c>
      <c r="C6" s="271" t="s">
        <v>213</v>
      </c>
      <c r="D6" s="336">
        <v>1110730</v>
      </c>
      <c r="E6" s="335">
        <v>1250175</v>
      </c>
      <c r="F6" s="333">
        <f t="shared" si="1"/>
        <v>139445</v>
      </c>
      <c r="G6" s="334">
        <f t="shared" si="2"/>
        <v>112.55435614415745</v>
      </c>
    </row>
    <row r="7" spans="1:7" ht="15" customHeight="1">
      <c r="A7" s="269">
        <v>3</v>
      </c>
      <c r="B7" s="270" t="s">
        <v>292</v>
      </c>
      <c r="C7" s="271" t="s">
        <v>293</v>
      </c>
      <c r="D7" s="276"/>
      <c r="E7" s="337"/>
      <c r="F7" s="337"/>
      <c r="G7" s="338"/>
    </row>
    <row r="8" spans="1:7" ht="20.25" customHeight="1">
      <c r="A8" s="269" t="s">
        <v>294</v>
      </c>
      <c r="B8" s="274" t="s">
        <v>295</v>
      </c>
      <c r="C8" s="271" t="s">
        <v>293</v>
      </c>
      <c r="D8" s="276"/>
      <c r="E8" s="337"/>
      <c r="F8" s="337"/>
      <c r="G8" s="338"/>
    </row>
    <row r="9" spans="1:7">
      <c r="A9" s="269">
        <v>4</v>
      </c>
      <c r="B9" s="407" t="s">
        <v>296</v>
      </c>
      <c r="C9" s="407"/>
      <c r="D9" s="407"/>
      <c r="E9" s="407"/>
      <c r="F9" s="407"/>
      <c r="G9" s="338"/>
    </row>
    <row r="10" spans="1:7">
      <c r="A10" s="269" t="s">
        <v>297</v>
      </c>
      <c r="B10" s="274" t="s">
        <v>298</v>
      </c>
      <c r="C10" s="271" t="s">
        <v>293</v>
      </c>
      <c r="D10" s="337"/>
      <c r="E10" s="337"/>
      <c r="F10" s="337"/>
      <c r="G10" s="338"/>
    </row>
    <row r="11" spans="1:7">
      <c r="A11" s="269" t="s">
        <v>299</v>
      </c>
      <c r="B11" s="274" t="s">
        <v>300</v>
      </c>
      <c r="C11" s="271" t="s">
        <v>293</v>
      </c>
      <c r="D11" s="337"/>
      <c r="E11" s="337"/>
      <c r="F11" s="337"/>
      <c r="G11" s="338"/>
    </row>
    <row r="12" spans="1:7">
      <c r="A12" s="269">
        <v>5</v>
      </c>
      <c r="B12" s="407" t="s">
        <v>241</v>
      </c>
      <c r="C12" s="407"/>
      <c r="D12" s="407"/>
      <c r="E12" s="407"/>
      <c r="F12" s="407"/>
      <c r="G12" s="338"/>
    </row>
    <row r="13" spans="1:7">
      <c r="A13" s="269" t="s">
        <v>242</v>
      </c>
      <c r="B13" s="274" t="s">
        <v>243</v>
      </c>
      <c r="C13" s="271" t="s">
        <v>213</v>
      </c>
      <c r="D13" s="271">
        <v>3513985</v>
      </c>
      <c r="E13" s="271">
        <v>3752145</v>
      </c>
      <c r="F13" s="271">
        <f>E13-D13</f>
        <v>238160</v>
      </c>
      <c r="G13" s="338">
        <f>E13/D13*100</f>
        <v>106.7774905129077</v>
      </c>
    </row>
    <row r="14" spans="1:7">
      <c r="A14" s="269" t="s">
        <v>244</v>
      </c>
      <c r="B14" s="274" t="s">
        <v>245</v>
      </c>
      <c r="C14" s="271" t="s">
        <v>213</v>
      </c>
      <c r="D14" s="271">
        <v>798455</v>
      </c>
      <c r="E14" s="271">
        <v>3356585</v>
      </c>
      <c r="F14" s="271">
        <f t="shared" ref="F14:F17" si="3">E14-D14</f>
        <v>2558130</v>
      </c>
      <c r="G14" s="338">
        <f t="shared" ref="G14:G27" si="4">E14/D14*100</f>
        <v>420.38499351873304</v>
      </c>
    </row>
    <row r="15" spans="1:7" ht="24" customHeight="1">
      <c r="A15" s="269">
        <v>6</v>
      </c>
      <c r="B15" s="270" t="s">
        <v>246</v>
      </c>
      <c r="C15" s="271" t="s">
        <v>213</v>
      </c>
      <c r="D15" s="271">
        <v>1897458</v>
      </c>
      <c r="E15" s="271">
        <v>2202301</v>
      </c>
      <c r="F15" s="271">
        <f t="shared" si="3"/>
        <v>304843</v>
      </c>
      <c r="G15" s="338">
        <f t="shared" si="4"/>
        <v>116.06586285440837</v>
      </c>
    </row>
    <row r="16" spans="1:7" ht="16.5" customHeight="1">
      <c r="A16" s="277">
        <v>7</v>
      </c>
      <c r="B16" s="270" t="s">
        <v>247</v>
      </c>
      <c r="C16" s="271" t="s">
        <v>248</v>
      </c>
      <c r="D16" s="271">
        <v>10450</v>
      </c>
      <c r="E16" s="271">
        <v>10520</v>
      </c>
      <c r="F16" s="271">
        <f t="shared" si="3"/>
        <v>70</v>
      </c>
      <c r="G16" s="338">
        <f t="shared" si="4"/>
        <v>100.66985645933015</v>
      </c>
    </row>
    <row r="17" spans="1:7" ht="22.5" customHeight="1">
      <c r="A17" s="277">
        <v>8</v>
      </c>
      <c r="B17" s="270" t="s">
        <v>249</v>
      </c>
      <c r="C17" s="271" t="s">
        <v>248</v>
      </c>
      <c r="D17" s="271">
        <v>18</v>
      </c>
      <c r="E17" s="271">
        <v>18</v>
      </c>
      <c r="F17" s="271">
        <f t="shared" si="3"/>
        <v>0</v>
      </c>
      <c r="G17" s="338">
        <f t="shared" si="4"/>
        <v>100</v>
      </c>
    </row>
    <row r="18" spans="1:7" ht="34.5" customHeight="1">
      <c r="A18" s="277">
        <v>9</v>
      </c>
      <c r="B18" s="270" t="s">
        <v>301</v>
      </c>
      <c r="C18" s="271" t="s">
        <v>293</v>
      </c>
      <c r="D18" s="339"/>
      <c r="E18" s="337"/>
      <c r="F18" s="337"/>
      <c r="G18" s="338"/>
    </row>
    <row r="19" spans="1:7">
      <c r="A19" s="269">
        <v>10</v>
      </c>
      <c r="B19" s="354" t="s">
        <v>250</v>
      </c>
      <c r="C19" s="271" t="s">
        <v>213</v>
      </c>
      <c r="D19" s="340">
        <v>3436455</v>
      </c>
      <c r="E19" s="271">
        <v>3852654</v>
      </c>
      <c r="F19" s="271">
        <f>E19-D19</f>
        <v>416199</v>
      </c>
      <c r="G19" s="338">
        <f t="shared" si="4"/>
        <v>112.11128910461508</v>
      </c>
    </row>
    <row r="20" spans="1:7">
      <c r="A20" s="269">
        <v>11</v>
      </c>
      <c r="B20" s="354" t="s">
        <v>218</v>
      </c>
      <c r="C20" s="271" t="s">
        <v>213</v>
      </c>
      <c r="D20" s="271">
        <v>665668</v>
      </c>
      <c r="E20" s="271">
        <v>732858</v>
      </c>
      <c r="F20" s="271">
        <f t="shared" ref="F20:F27" si="5">E20-D20</f>
        <v>67190</v>
      </c>
      <c r="G20" s="338">
        <f t="shared" si="4"/>
        <v>110.09362024312419</v>
      </c>
    </row>
    <row r="21" spans="1:7" ht="23.25" customHeight="1">
      <c r="A21" s="277">
        <v>12</v>
      </c>
      <c r="B21" s="354" t="s">
        <v>251</v>
      </c>
      <c r="C21" s="271" t="s">
        <v>213</v>
      </c>
      <c r="D21" s="271">
        <v>2567822</v>
      </c>
      <c r="E21" s="271">
        <v>2735959</v>
      </c>
      <c r="F21" s="271">
        <f t="shared" si="5"/>
        <v>168137</v>
      </c>
      <c r="G21" s="338">
        <f t="shared" si="4"/>
        <v>106.54784482725049</v>
      </c>
    </row>
    <row r="22" spans="1:7" ht="27" customHeight="1">
      <c r="A22" s="277">
        <v>13</v>
      </c>
      <c r="B22" s="270" t="s">
        <v>252</v>
      </c>
      <c r="C22" s="271" t="s">
        <v>253</v>
      </c>
      <c r="D22" s="271">
        <f t="shared" ref="D22" si="6">D23+D24</f>
        <v>703</v>
      </c>
      <c r="E22" s="271">
        <v>725</v>
      </c>
      <c r="F22" s="271">
        <f t="shared" si="5"/>
        <v>22</v>
      </c>
      <c r="G22" s="338">
        <f t="shared" si="4"/>
        <v>103.1294452347084</v>
      </c>
    </row>
    <row r="23" spans="1:7">
      <c r="A23" s="277" t="s">
        <v>254</v>
      </c>
      <c r="B23" s="274" t="s">
        <v>255</v>
      </c>
      <c r="C23" s="271" t="s">
        <v>253</v>
      </c>
      <c r="D23" s="271">
        <v>78</v>
      </c>
      <c r="E23" s="271">
        <v>78</v>
      </c>
      <c r="F23" s="271">
        <f t="shared" si="5"/>
        <v>0</v>
      </c>
      <c r="G23" s="338">
        <f t="shared" si="4"/>
        <v>100</v>
      </c>
    </row>
    <row r="24" spans="1:7">
      <c r="A24" s="277" t="s">
        <v>256</v>
      </c>
      <c r="B24" s="274" t="s">
        <v>257</v>
      </c>
      <c r="C24" s="271" t="s">
        <v>253</v>
      </c>
      <c r="D24" s="271">
        <v>625</v>
      </c>
      <c r="E24" s="271">
        <v>647</v>
      </c>
      <c r="F24" s="271">
        <f t="shared" si="5"/>
        <v>22</v>
      </c>
      <c r="G24" s="338">
        <f t="shared" si="4"/>
        <v>103.52</v>
      </c>
    </row>
    <row r="25" spans="1:7" ht="60" customHeight="1">
      <c r="A25" s="277">
        <v>14</v>
      </c>
      <c r="B25" s="279" t="s">
        <v>302</v>
      </c>
      <c r="C25" s="280" t="s">
        <v>188</v>
      </c>
      <c r="D25" s="276"/>
      <c r="E25" s="271"/>
      <c r="F25" s="271">
        <f t="shared" si="5"/>
        <v>0</v>
      </c>
      <c r="G25" s="338"/>
    </row>
    <row r="26" spans="1:7" ht="28.5" customHeight="1">
      <c r="A26" s="277">
        <v>15</v>
      </c>
      <c r="B26" s="279" t="s">
        <v>258</v>
      </c>
      <c r="C26" s="280" t="s">
        <v>213</v>
      </c>
      <c r="D26" s="340">
        <v>72993.5</v>
      </c>
      <c r="E26" s="271">
        <v>85495.6</v>
      </c>
      <c r="F26" s="271">
        <f t="shared" si="5"/>
        <v>12502.100000000006</v>
      </c>
      <c r="G26" s="338">
        <f t="shared" si="4"/>
        <v>117.12768945180052</v>
      </c>
    </row>
    <row r="27" spans="1:7" ht="33.75" customHeight="1">
      <c r="A27" s="277">
        <v>16</v>
      </c>
      <c r="B27" s="279" t="s">
        <v>259</v>
      </c>
      <c r="C27" s="280" t="s">
        <v>188</v>
      </c>
      <c r="D27" s="271">
        <v>46.4</v>
      </c>
      <c r="E27" s="271">
        <v>45.9</v>
      </c>
      <c r="F27" s="271">
        <f t="shared" si="5"/>
        <v>-0.5</v>
      </c>
      <c r="G27" s="338">
        <f t="shared" si="4"/>
        <v>98.922413793103445</v>
      </c>
    </row>
    <row r="28" spans="1:7">
      <c r="A28" s="277">
        <v>17</v>
      </c>
      <c r="B28" s="408" t="s">
        <v>260</v>
      </c>
      <c r="C28" s="408"/>
      <c r="D28" s="408"/>
      <c r="E28" s="408"/>
      <c r="F28" s="408"/>
      <c r="G28" s="338"/>
    </row>
    <row r="29" spans="1:7" ht="22.5" customHeight="1">
      <c r="A29" s="277" t="s">
        <v>261</v>
      </c>
      <c r="B29" s="281" t="s">
        <v>262</v>
      </c>
      <c r="C29" s="280" t="s">
        <v>171</v>
      </c>
      <c r="D29" s="341">
        <v>16311</v>
      </c>
      <c r="E29" s="341"/>
      <c r="F29" s="341">
        <f>E29-D29</f>
        <v>-16311</v>
      </c>
      <c r="G29" s="338">
        <f>E29/D29*100</f>
        <v>0</v>
      </c>
    </row>
    <row r="30" spans="1:7" ht="23.25" customHeight="1">
      <c r="A30" s="277" t="s">
        <v>263</v>
      </c>
      <c r="B30" s="281" t="s">
        <v>264</v>
      </c>
      <c r="C30" s="280" t="s">
        <v>171</v>
      </c>
      <c r="D30" s="341">
        <v>18607</v>
      </c>
      <c r="E30" s="342">
        <v>19315</v>
      </c>
      <c r="F30" s="341">
        <f t="shared" ref="F30:F36" si="7">E30-D30</f>
        <v>708</v>
      </c>
      <c r="G30" s="338">
        <f t="shared" ref="G30:G34" si="8">E30/D30*100</f>
        <v>103.80501961627344</v>
      </c>
    </row>
    <row r="31" spans="1:7" ht="22.5" customHeight="1">
      <c r="A31" s="277" t="s">
        <v>265</v>
      </c>
      <c r="B31" s="281" t="s">
        <v>266</v>
      </c>
      <c r="C31" s="280" t="s">
        <v>171</v>
      </c>
      <c r="D31" s="341">
        <v>16679</v>
      </c>
      <c r="E31" s="342">
        <v>17333</v>
      </c>
      <c r="F31" s="341">
        <f t="shared" si="7"/>
        <v>654</v>
      </c>
      <c r="G31" s="338">
        <f t="shared" si="8"/>
        <v>103.92109838719348</v>
      </c>
    </row>
    <row r="32" spans="1:7" ht="25.5" customHeight="1">
      <c r="A32" s="277" t="s">
        <v>267</v>
      </c>
      <c r="B32" s="281" t="s">
        <v>268</v>
      </c>
      <c r="C32" s="280" t="s">
        <v>171</v>
      </c>
      <c r="D32" s="280">
        <v>11757.2</v>
      </c>
      <c r="E32" s="280">
        <v>12886.09</v>
      </c>
      <c r="F32" s="341">
        <f t="shared" si="7"/>
        <v>1128.8899999999994</v>
      </c>
      <c r="G32" s="338">
        <f t="shared" si="8"/>
        <v>109.60169087878067</v>
      </c>
    </row>
    <row r="33" spans="1:7" ht="24" customHeight="1">
      <c r="A33" s="277" t="s">
        <v>269</v>
      </c>
      <c r="B33" s="281" t="s">
        <v>270</v>
      </c>
      <c r="C33" s="280" t="s">
        <v>171</v>
      </c>
      <c r="D33" s="341">
        <v>13025</v>
      </c>
      <c r="E33" s="342">
        <v>18661</v>
      </c>
      <c r="F33" s="341">
        <f t="shared" si="7"/>
        <v>5636</v>
      </c>
      <c r="G33" s="338">
        <f t="shared" si="8"/>
        <v>143.27063339731285</v>
      </c>
    </row>
    <row r="34" spans="1:7" ht="14.25" customHeight="1">
      <c r="A34" s="277">
        <v>18</v>
      </c>
      <c r="B34" s="279" t="s">
        <v>271</v>
      </c>
      <c r="C34" s="280" t="s">
        <v>253</v>
      </c>
      <c r="D34" s="341">
        <v>1182</v>
      </c>
      <c r="E34" s="342">
        <v>1187</v>
      </c>
      <c r="F34" s="341">
        <f t="shared" si="7"/>
        <v>5</v>
      </c>
      <c r="G34" s="338">
        <f t="shared" si="8"/>
        <v>100.42301184433164</v>
      </c>
    </row>
    <row r="35" spans="1:7">
      <c r="A35" s="277" t="s">
        <v>272</v>
      </c>
      <c r="B35" s="281" t="s">
        <v>273</v>
      </c>
      <c r="C35" s="280" t="s">
        <v>253</v>
      </c>
      <c r="D35" s="276"/>
      <c r="E35" s="280"/>
      <c r="F35" s="341">
        <f t="shared" si="7"/>
        <v>0</v>
      </c>
      <c r="G35" s="338"/>
    </row>
    <row r="36" spans="1:7" ht="16.5" customHeight="1">
      <c r="A36" s="277" t="s">
        <v>274</v>
      </c>
      <c r="B36" s="281" t="s">
        <v>275</v>
      </c>
      <c r="C36" s="280" t="s">
        <v>253</v>
      </c>
      <c r="D36" s="276"/>
      <c r="E36" s="343">
        <v>180</v>
      </c>
      <c r="F36" s="341">
        <f t="shared" si="7"/>
        <v>180</v>
      </c>
      <c r="G36" s="338"/>
    </row>
    <row r="37" spans="1:7" ht="87.75" customHeight="1">
      <c r="A37" s="277">
        <v>19</v>
      </c>
      <c r="B37" s="279" t="s">
        <v>303</v>
      </c>
      <c r="C37" s="280" t="s">
        <v>188</v>
      </c>
      <c r="D37" s="276"/>
      <c r="E37" s="344"/>
      <c r="F37" s="344"/>
      <c r="G37" s="338"/>
    </row>
    <row r="38" spans="1:7" ht="33.75" customHeight="1">
      <c r="A38" s="277">
        <v>20</v>
      </c>
      <c r="B38" s="279" t="s">
        <v>304</v>
      </c>
      <c r="C38" s="280" t="s">
        <v>188</v>
      </c>
      <c r="D38" s="276"/>
      <c r="E38" s="344"/>
      <c r="F38" s="344"/>
      <c r="G38" s="338"/>
    </row>
    <row r="39" spans="1:7" ht="22.5" customHeight="1">
      <c r="A39" s="277">
        <v>21</v>
      </c>
      <c r="B39" s="279" t="s">
        <v>305</v>
      </c>
      <c r="C39" s="280" t="s">
        <v>188</v>
      </c>
      <c r="D39" s="276"/>
      <c r="E39" s="344"/>
      <c r="F39" s="344"/>
      <c r="G39" s="338"/>
    </row>
    <row r="40" spans="1:7" ht="45" customHeight="1">
      <c r="A40" s="277">
        <v>22</v>
      </c>
      <c r="B40" s="279" t="s">
        <v>276</v>
      </c>
      <c r="C40" s="280" t="s">
        <v>188</v>
      </c>
      <c r="D40" s="345">
        <v>19.600000000000001</v>
      </c>
      <c r="E40" s="272">
        <v>17.2</v>
      </c>
      <c r="F40" s="272">
        <f>E40-D40</f>
        <v>-2.4000000000000021</v>
      </c>
      <c r="G40" s="338">
        <f>E40/D40*100</f>
        <v>87.755102040816311</v>
      </c>
    </row>
    <row r="41" spans="1:7" ht="30" customHeight="1">
      <c r="A41" s="277">
        <v>23</v>
      </c>
      <c r="B41" s="279" t="s">
        <v>277</v>
      </c>
      <c r="C41" s="280" t="s">
        <v>188</v>
      </c>
      <c r="D41" s="272">
        <v>20.3</v>
      </c>
      <c r="E41" s="272">
        <v>30.6</v>
      </c>
      <c r="F41" s="272">
        <f>E41-D41</f>
        <v>10.3</v>
      </c>
      <c r="G41" s="338">
        <f>E41/D41*100</f>
        <v>150.73891625615764</v>
      </c>
    </row>
    <row r="42" spans="1:7" ht="52.5">
      <c r="A42" s="277">
        <v>24</v>
      </c>
      <c r="B42" s="279" t="s">
        <v>306</v>
      </c>
      <c r="C42" s="280" t="s">
        <v>188</v>
      </c>
      <c r="D42" s="276"/>
      <c r="E42" s="344"/>
      <c r="F42" s="344"/>
      <c r="G42" s="338"/>
    </row>
    <row r="43" spans="1:7" ht="65.25" customHeight="1">
      <c r="A43" s="277">
        <v>25</v>
      </c>
      <c r="B43" s="279" t="s">
        <v>307</v>
      </c>
      <c r="C43" s="280" t="s">
        <v>188</v>
      </c>
      <c r="D43" s="276"/>
      <c r="E43" s="344"/>
      <c r="F43" s="344"/>
      <c r="G43" s="338"/>
    </row>
    <row r="44" spans="1:7" ht="44.25" customHeight="1">
      <c r="A44" s="277">
        <v>26</v>
      </c>
      <c r="B44" s="281" t="s">
        <v>308</v>
      </c>
      <c r="C44" s="280" t="s">
        <v>188</v>
      </c>
      <c r="D44" s="276"/>
      <c r="E44" s="344"/>
      <c r="F44" s="344"/>
      <c r="G44" s="338"/>
    </row>
    <row r="45" spans="1:7" ht="42" customHeight="1">
      <c r="A45" s="277">
        <v>27</v>
      </c>
      <c r="B45" s="281" t="s">
        <v>278</v>
      </c>
      <c r="C45" s="280" t="s">
        <v>188</v>
      </c>
      <c r="D45" s="280">
        <v>33.799999999999997</v>
      </c>
      <c r="E45" s="280">
        <v>33.299999999999997</v>
      </c>
      <c r="F45" s="280">
        <f>E45-D45</f>
        <v>-0.5</v>
      </c>
      <c r="G45" s="338">
        <f>E45/D45*100</f>
        <v>98.520710059171606</v>
      </c>
    </row>
    <row r="46" spans="1:7" ht="42" customHeight="1">
      <c r="A46" s="277">
        <v>28</v>
      </c>
      <c r="B46" s="346" t="s">
        <v>309</v>
      </c>
      <c r="C46" s="280" t="s">
        <v>188</v>
      </c>
      <c r="D46" s="276"/>
      <c r="E46" s="344"/>
      <c r="F46" s="344"/>
      <c r="G46" s="338"/>
    </row>
    <row r="47" spans="1:7" ht="42">
      <c r="A47" s="277">
        <v>29</v>
      </c>
      <c r="B47" s="279" t="s">
        <v>310</v>
      </c>
      <c r="C47" s="280" t="s">
        <v>188</v>
      </c>
      <c r="D47" s="276"/>
      <c r="E47" s="344"/>
      <c r="F47" s="344"/>
      <c r="G47" s="338"/>
    </row>
    <row r="48" spans="1:7" ht="54.75" customHeight="1">
      <c r="A48" s="277">
        <v>30</v>
      </c>
      <c r="B48" s="279" t="s">
        <v>279</v>
      </c>
      <c r="C48" s="280" t="s">
        <v>188</v>
      </c>
      <c r="D48" s="280">
        <v>49.41</v>
      </c>
      <c r="E48" s="280">
        <v>49.41</v>
      </c>
      <c r="F48" s="280">
        <f>E48-D48</f>
        <v>0</v>
      </c>
      <c r="G48" s="338">
        <f>E48/D48*100</f>
        <v>100</v>
      </c>
    </row>
    <row r="49" spans="1:12" s="282" customFormat="1" ht="20.25" customHeight="1">
      <c r="A49"/>
      <c r="B49" s="409" t="s">
        <v>280</v>
      </c>
      <c r="C49" s="409"/>
      <c r="D49" s="409"/>
      <c r="E49" s="409"/>
      <c r="F49"/>
      <c r="G49"/>
      <c r="H49"/>
      <c r="I49"/>
      <c r="J49"/>
      <c r="K49"/>
      <c r="L49"/>
    </row>
    <row r="50" spans="1:12" s="282" customFormat="1" ht="20.25" customHeight="1">
      <c r="A50"/>
      <c r="B50" s="352"/>
      <c r="C50" s="352"/>
      <c r="D50" s="347"/>
      <c r="E50" s="348"/>
      <c r="F50" s="349"/>
      <c r="G50"/>
      <c r="H50"/>
      <c r="I50"/>
      <c r="J50"/>
      <c r="K50"/>
      <c r="L50"/>
    </row>
    <row r="51" spans="1:12" s="282" customFormat="1" ht="20.25" customHeight="1">
      <c r="A51"/>
      <c r="B51" s="352"/>
      <c r="C51" s="352"/>
      <c r="D51" s="350"/>
      <c r="E51" s="352"/>
      <c r="F51"/>
      <c r="G51"/>
      <c r="H51"/>
      <c r="I51"/>
      <c r="J51"/>
      <c r="K51"/>
      <c r="L51"/>
    </row>
    <row r="53" spans="1:12" s="282" customFormat="1" ht="16.5" customHeight="1">
      <c r="A53"/>
      <c r="B53" s="410" t="s">
        <v>281</v>
      </c>
      <c r="C53" s="410"/>
      <c r="D53" s="410"/>
      <c r="E53" s="410"/>
      <c r="F53" s="410"/>
      <c r="G53"/>
      <c r="H53"/>
      <c r="I53"/>
      <c r="J53"/>
      <c r="K53"/>
      <c r="L53"/>
    </row>
    <row r="54" spans="1:12" s="282" customFormat="1" ht="15.75">
      <c r="A54"/>
      <c r="B54" s="353"/>
      <c r="C54"/>
      <c r="D54" s="351"/>
      <c r="E54"/>
      <c r="F54"/>
      <c r="G54"/>
      <c r="H54"/>
      <c r="I54"/>
      <c r="J54"/>
      <c r="K54"/>
      <c r="L54"/>
    </row>
    <row r="55" spans="1:12" s="282" customFormat="1" ht="62.25" customHeight="1">
      <c r="A55"/>
      <c r="B55" s="405"/>
      <c r="C55" s="405"/>
      <c r="D55" s="351"/>
      <c r="E55"/>
      <c r="F55"/>
      <c r="G55"/>
      <c r="H55"/>
      <c r="I55"/>
      <c r="J55"/>
      <c r="K55"/>
      <c r="L55"/>
    </row>
  </sheetData>
  <mergeCells count="7">
    <mergeCell ref="B55:C55"/>
    <mergeCell ref="B1:F1"/>
    <mergeCell ref="B9:F9"/>
    <mergeCell ref="B12:F12"/>
    <mergeCell ref="B28:F28"/>
    <mergeCell ref="B49:E49"/>
    <mergeCell ref="B53:F53"/>
  </mergeCells>
  <pageMargins left="0.27559055118110237" right="0.23622047244094491" top="0.55118110236220474" bottom="0.55118110236220474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70"/>
  <sheetViews>
    <sheetView tabSelected="1" view="pageBreakPreview" zoomScaleNormal="85" zoomScaleSheetLayoutView="100" workbookViewId="0">
      <pane ySplit="6" topLeftCell="A40" activePane="bottomLeft" state="frozen"/>
      <selection pane="bottomLeft" activeCell="K46" sqref="K46"/>
    </sheetView>
  </sheetViews>
  <sheetFormatPr defaultColWidth="8.85546875" defaultRowHeight="12"/>
  <cols>
    <col min="1" max="1" width="45.140625" style="98" customWidth="1"/>
    <col min="2" max="2" width="12.5703125" style="98" customWidth="1"/>
    <col min="3" max="3" width="9.42578125" style="209" hidden="1" customWidth="1"/>
    <col min="4" max="4" width="5.140625" style="210" hidden="1" customWidth="1"/>
    <col min="5" max="5" width="6.28515625" style="211" hidden="1" customWidth="1"/>
    <col min="6" max="6" width="8.42578125" style="209" hidden="1" customWidth="1"/>
    <col min="7" max="7" width="10.85546875" style="98" hidden="1" customWidth="1"/>
    <col min="8" max="9" width="8.7109375" style="125" customWidth="1"/>
    <col min="10" max="10" width="9.140625" style="125" customWidth="1"/>
    <col min="11" max="11" width="8.85546875" style="125" customWidth="1"/>
    <col min="12" max="12" width="9.42578125" style="125" customWidth="1"/>
    <col min="13" max="13" width="9.7109375" style="125" customWidth="1"/>
    <col min="14" max="14" width="9.140625" style="98" customWidth="1"/>
    <col min="15" max="15" width="14.28515625" style="98" customWidth="1"/>
    <col min="16" max="16" width="8" style="98" customWidth="1"/>
    <col min="17" max="17" width="7.140625" style="98" customWidth="1"/>
    <col min="18" max="256" width="8.85546875" style="98"/>
    <col min="257" max="257" width="50.28515625" style="98" customWidth="1"/>
    <col min="258" max="258" width="12.5703125" style="98" customWidth="1"/>
    <col min="259" max="263" width="0" style="98" hidden="1" customWidth="1"/>
    <col min="264" max="265" width="9.7109375" style="98" customWidth="1"/>
    <col min="266" max="267" width="10.7109375" style="98" customWidth="1"/>
    <col min="268" max="269" width="10.42578125" style="98" customWidth="1"/>
    <col min="270" max="270" width="7.140625" style="98" customWidth="1"/>
    <col min="271" max="271" width="12.28515625" style="98" customWidth="1"/>
    <col min="272" max="273" width="7.140625" style="98" customWidth="1"/>
    <col min="274" max="512" width="8.85546875" style="98"/>
    <col min="513" max="513" width="50.28515625" style="98" customWidth="1"/>
    <col min="514" max="514" width="12.5703125" style="98" customWidth="1"/>
    <col min="515" max="519" width="0" style="98" hidden="1" customWidth="1"/>
    <col min="520" max="521" width="9.7109375" style="98" customWidth="1"/>
    <col min="522" max="523" width="10.7109375" style="98" customWidth="1"/>
    <col min="524" max="525" width="10.42578125" style="98" customWidth="1"/>
    <col min="526" max="526" width="7.140625" style="98" customWidth="1"/>
    <col min="527" max="527" width="12.28515625" style="98" customWidth="1"/>
    <col min="528" max="529" width="7.140625" style="98" customWidth="1"/>
    <col min="530" max="768" width="8.85546875" style="98"/>
    <col min="769" max="769" width="50.28515625" style="98" customWidth="1"/>
    <col min="770" max="770" width="12.5703125" style="98" customWidth="1"/>
    <col min="771" max="775" width="0" style="98" hidden="1" customWidth="1"/>
    <col min="776" max="777" width="9.7109375" style="98" customWidth="1"/>
    <col min="778" max="779" width="10.7109375" style="98" customWidth="1"/>
    <col min="780" max="781" width="10.42578125" style="98" customWidth="1"/>
    <col min="782" max="782" width="7.140625" style="98" customWidth="1"/>
    <col min="783" max="783" width="12.28515625" style="98" customWidth="1"/>
    <col min="784" max="785" width="7.140625" style="98" customWidth="1"/>
    <col min="786" max="1024" width="8.85546875" style="98"/>
    <col min="1025" max="1025" width="50.28515625" style="98" customWidth="1"/>
    <col min="1026" max="1026" width="12.5703125" style="98" customWidth="1"/>
    <col min="1027" max="1031" width="0" style="98" hidden="1" customWidth="1"/>
    <col min="1032" max="1033" width="9.7109375" style="98" customWidth="1"/>
    <col min="1034" max="1035" width="10.7109375" style="98" customWidth="1"/>
    <col min="1036" max="1037" width="10.42578125" style="98" customWidth="1"/>
    <col min="1038" max="1038" width="7.140625" style="98" customWidth="1"/>
    <col min="1039" max="1039" width="12.28515625" style="98" customWidth="1"/>
    <col min="1040" max="1041" width="7.140625" style="98" customWidth="1"/>
    <col min="1042" max="1280" width="8.85546875" style="98"/>
    <col min="1281" max="1281" width="50.28515625" style="98" customWidth="1"/>
    <col min="1282" max="1282" width="12.5703125" style="98" customWidth="1"/>
    <col min="1283" max="1287" width="0" style="98" hidden="1" customWidth="1"/>
    <col min="1288" max="1289" width="9.7109375" style="98" customWidth="1"/>
    <col min="1290" max="1291" width="10.7109375" style="98" customWidth="1"/>
    <col min="1292" max="1293" width="10.42578125" style="98" customWidth="1"/>
    <col min="1294" max="1294" width="7.140625" style="98" customWidth="1"/>
    <col min="1295" max="1295" width="12.28515625" style="98" customWidth="1"/>
    <col min="1296" max="1297" width="7.140625" style="98" customWidth="1"/>
    <col min="1298" max="1536" width="8.85546875" style="98"/>
    <col min="1537" max="1537" width="50.28515625" style="98" customWidth="1"/>
    <col min="1538" max="1538" width="12.5703125" style="98" customWidth="1"/>
    <col min="1539" max="1543" width="0" style="98" hidden="1" customWidth="1"/>
    <col min="1544" max="1545" width="9.7109375" style="98" customWidth="1"/>
    <col min="1546" max="1547" width="10.7109375" style="98" customWidth="1"/>
    <col min="1548" max="1549" width="10.42578125" style="98" customWidth="1"/>
    <col min="1550" max="1550" width="7.140625" style="98" customWidth="1"/>
    <col min="1551" max="1551" width="12.28515625" style="98" customWidth="1"/>
    <col min="1552" max="1553" width="7.140625" style="98" customWidth="1"/>
    <col min="1554" max="1792" width="8.85546875" style="98"/>
    <col min="1793" max="1793" width="50.28515625" style="98" customWidth="1"/>
    <col min="1794" max="1794" width="12.5703125" style="98" customWidth="1"/>
    <col min="1795" max="1799" width="0" style="98" hidden="1" customWidth="1"/>
    <col min="1800" max="1801" width="9.7109375" style="98" customWidth="1"/>
    <col min="1802" max="1803" width="10.7109375" style="98" customWidth="1"/>
    <col min="1804" max="1805" width="10.42578125" style="98" customWidth="1"/>
    <col min="1806" max="1806" width="7.140625" style="98" customWidth="1"/>
    <col min="1807" max="1807" width="12.28515625" style="98" customWidth="1"/>
    <col min="1808" max="1809" width="7.140625" style="98" customWidth="1"/>
    <col min="1810" max="2048" width="8.85546875" style="98"/>
    <col min="2049" max="2049" width="50.28515625" style="98" customWidth="1"/>
    <col min="2050" max="2050" width="12.5703125" style="98" customWidth="1"/>
    <col min="2051" max="2055" width="0" style="98" hidden="1" customWidth="1"/>
    <col min="2056" max="2057" width="9.7109375" style="98" customWidth="1"/>
    <col min="2058" max="2059" width="10.7109375" style="98" customWidth="1"/>
    <col min="2060" max="2061" width="10.42578125" style="98" customWidth="1"/>
    <col min="2062" max="2062" width="7.140625" style="98" customWidth="1"/>
    <col min="2063" max="2063" width="12.28515625" style="98" customWidth="1"/>
    <col min="2064" max="2065" width="7.140625" style="98" customWidth="1"/>
    <col min="2066" max="2304" width="8.85546875" style="98"/>
    <col min="2305" max="2305" width="50.28515625" style="98" customWidth="1"/>
    <col min="2306" max="2306" width="12.5703125" style="98" customWidth="1"/>
    <col min="2307" max="2311" width="0" style="98" hidden="1" customWidth="1"/>
    <col min="2312" max="2313" width="9.7109375" style="98" customWidth="1"/>
    <col min="2314" max="2315" width="10.7109375" style="98" customWidth="1"/>
    <col min="2316" max="2317" width="10.42578125" style="98" customWidth="1"/>
    <col min="2318" max="2318" width="7.140625" style="98" customWidth="1"/>
    <col min="2319" max="2319" width="12.28515625" style="98" customWidth="1"/>
    <col min="2320" max="2321" width="7.140625" style="98" customWidth="1"/>
    <col min="2322" max="2560" width="8.85546875" style="98"/>
    <col min="2561" max="2561" width="50.28515625" style="98" customWidth="1"/>
    <col min="2562" max="2562" width="12.5703125" style="98" customWidth="1"/>
    <col min="2563" max="2567" width="0" style="98" hidden="1" customWidth="1"/>
    <col min="2568" max="2569" width="9.7109375" style="98" customWidth="1"/>
    <col min="2570" max="2571" width="10.7109375" style="98" customWidth="1"/>
    <col min="2572" max="2573" width="10.42578125" style="98" customWidth="1"/>
    <col min="2574" max="2574" width="7.140625" style="98" customWidth="1"/>
    <col min="2575" max="2575" width="12.28515625" style="98" customWidth="1"/>
    <col min="2576" max="2577" width="7.140625" style="98" customWidth="1"/>
    <col min="2578" max="2816" width="8.85546875" style="98"/>
    <col min="2817" max="2817" width="50.28515625" style="98" customWidth="1"/>
    <col min="2818" max="2818" width="12.5703125" style="98" customWidth="1"/>
    <col min="2819" max="2823" width="0" style="98" hidden="1" customWidth="1"/>
    <col min="2824" max="2825" width="9.7109375" style="98" customWidth="1"/>
    <col min="2826" max="2827" width="10.7109375" style="98" customWidth="1"/>
    <col min="2828" max="2829" width="10.42578125" style="98" customWidth="1"/>
    <col min="2830" max="2830" width="7.140625" style="98" customWidth="1"/>
    <col min="2831" max="2831" width="12.28515625" style="98" customWidth="1"/>
    <col min="2832" max="2833" width="7.140625" style="98" customWidth="1"/>
    <col min="2834" max="3072" width="8.85546875" style="98"/>
    <col min="3073" max="3073" width="50.28515625" style="98" customWidth="1"/>
    <col min="3074" max="3074" width="12.5703125" style="98" customWidth="1"/>
    <col min="3075" max="3079" width="0" style="98" hidden="1" customWidth="1"/>
    <col min="3080" max="3081" width="9.7109375" style="98" customWidth="1"/>
    <col min="3082" max="3083" width="10.7109375" style="98" customWidth="1"/>
    <col min="3084" max="3085" width="10.42578125" style="98" customWidth="1"/>
    <col min="3086" max="3086" width="7.140625" style="98" customWidth="1"/>
    <col min="3087" max="3087" width="12.28515625" style="98" customWidth="1"/>
    <col min="3088" max="3089" width="7.140625" style="98" customWidth="1"/>
    <col min="3090" max="3328" width="8.85546875" style="98"/>
    <col min="3329" max="3329" width="50.28515625" style="98" customWidth="1"/>
    <col min="3330" max="3330" width="12.5703125" style="98" customWidth="1"/>
    <col min="3331" max="3335" width="0" style="98" hidden="1" customWidth="1"/>
    <col min="3336" max="3337" width="9.7109375" style="98" customWidth="1"/>
    <col min="3338" max="3339" width="10.7109375" style="98" customWidth="1"/>
    <col min="3340" max="3341" width="10.42578125" style="98" customWidth="1"/>
    <col min="3342" max="3342" width="7.140625" style="98" customWidth="1"/>
    <col min="3343" max="3343" width="12.28515625" style="98" customWidth="1"/>
    <col min="3344" max="3345" width="7.140625" style="98" customWidth="1"/>
    <col min="3346" max="3584" width="8.85546875" style="98"/>
    <col min="3585" max="3585" width="50.28515625" style="98" customWidth="1"/>
    <col min="3586" max="3586" width="12.5703125" style="98" customWidth="1"/>
    <col min="3587" max="3591" width="0" style="98" hidden="1" customWidth="1"/>
    <col min="3592" max="3593" width="9.7109375" style="98" customWidth="1"/>
    <col min="3594" max="3595" width="10.7109375" style="98" customWidth="1"/>
    <col min="3596" max="3597" width="10.42578125" style="98" customWidth="1"/>
    <col min="3598" max="3598" width="7.140625" style="98" customWidth="1"/>
    <col min="3599" max="3599" width="12.28515625" style="98" customWidth="1"/>
    <col min="3600" max="3601" width="7.140625" style="98" customWidth="1"/>
    <col min="3602" max="3840" width="8.85546875" style="98"/>
    <col min="3841" max="3841" width="50.28515625" style="98" customWidth="1"/>
    <col min="3842" max="3842" width="12.5703125" style="98" customWidth="1"/>
    <col min="3843" max="3847" width="0" style="98" hidden="1" customWidth="1"/>
    <col min="3848" max="3849" width="9.7109375" style="98" customWidth="1"/>
    <col min="3850" max="3851" width="10.7109375" style="98" customWidth="1"/>
    <col min="3852" max="3853" width="10.42578125" style="98" customWidth="1"/>
    <col min="3854" max="3854" width="7.140625" style="98" customWidth="1"/>
    <col min="3855" max="3855" width="12.28515625" style="98" customWidth="1"/>
    <col min="3856" max="3857" width="7.140625" style="98" customWidth="1"/>
    <col min="3858" max="4096" width="8.85546875" style="98"/>
    <col min="4097" max="4097" width="50.28515625" style="98" customWidth="1"/>
    <col min="4098" max="4098" width="12.5703125" style="98" customWidth="1"/>
    <col min="4099" max="4103" width="0" style="98" hidden="1" customWidth="1"/>
    <col min="4104" max="4105" width="9.7109375" style="98" customWidth="1"/>
    <col min="4106" max="4107" width="10.7109375" style="98" customWidth="1"/>
    <col min="4108" max="4109" width="10.42578125" style="98" customWidth="1"/>
    <col min="4110" max="4110" width="7.140625" style="98" customWidth="1"/>
    <col min="4111" max="4111" width="12.28515625" style="98" customWidth="1"/>
    <col min="4112" max="4113" width="7.140625" style="98" customWidth="1"/>
    <col min="4114" max="4352" width="8.85546875" style="98"/>
    <col min="4353" max="4353" width="50.28515625" style="98" customWidth="1"/>
    <col min="4354" max="4354" width="12.5703125" style="98" customWidth="1"/>
    <col min="4355" max="4359" width="0" style="98" hidden="1" customWidth="1"/>
    <col min="4360" max="4361" width="9.7109375" style="98" customWidth="1"/>
    <col min="4362" max="4363" width="10.7109375" style="98" customWidth="1"/>
    <col min="4364" max="4365" width="10.42578125" style="98" customWidth="1"/>
    <col min="4366" max="4366" width="7.140625" style="98" customWidth="1"/>
    <col min="4367" max="4367" width="12.28515625" style="98" customWidth="1"/>
    <col min="4368" max="4369" width="7.140625" style="98" customWidth="1"/>
    <col min="4370" max="4608" width="8.85546875" style="98"/>
    <col min="4609" max="4609" width="50.28515625" style="98" customWidth="1"/>
    <col min="4610" max="4610" width="12.5703125" style="98" customWidth="1"/>
    <col min="4611" max="4615" width="0" style="98" hidden="1" customWidth="1"/>
    <col min="4616" max="4617" width="9.7109375" style="98" customWidth="1"/>
    <col min="4618" max="4619" width="10.7109375" style="98" customWidth="1"/>
    <col min="4620" max="4621" width="10.42578125" style="98" customWidth="1"/>
    <col min="4622" max="4622" width="7.140625" style="98" customWidth="1"/>
    <col min="4623" max="4623" width="12.28515625" style="98" customWidth="1"/>
    <col min="4624" max="4625" width="7.140625" style="98" customWidth="1"/>
    <col min="4626" max="4864" width="8.85546875" style="98"/>
    <col min="4865" max="4865" width="50.28515625" style="98" customWidth="1"/>
    <col min="4866" max="4866" width="12.5703125" style="98" customWidth="1"/>
    <col min="4867" max="4871" width="0" style="98" hidden="1" customWidth="1"/>
    <col min="4872" max="4873" width="9.7109375" style="98" customWidth="1"/>
    <col min="4874" max="4875" width="10.7109375" style="98" customWidth="1"/>
    <col min="4876" max="4877" width="10.42578125" style="98" customWidth="1"/>
    <col min="4878" max="4878" width="7.140625" style="98" customWidth="1"/>
    <col min="4879" max="4879" width="12.28515625" style="98" customWidth="1"/>
    <col min="4880" max="4881" width="7.140625" style="98" customWidth="1"/>
    <col min="4882" max="5120" width="8.85546875" style="98"/>
    <col min="5121" max="5121" width="50.28515625" style="98" customWidth="1"/>
    <col min="5122" max="5122" width="12.5703125" style="98" customWidth="1"/>
    <col min="5123" max="5127" width="0" style="98" hidden="1" customWidth="1"/>
    <col min="5128" max="5129" width="9.7109375" style="98" customWidth="1"/>
    <col min="5130" max="5131" width="10.7109375" style="98" customWidth="1"/>
    <col min="5132" max="5133" width="10.42578125" style="98" customWidth="1"/>
    <col min="5134" max="5134" width="7.140625" style="98" customWidth="1"/>
    <col min="5135" max="5135" width="12.28515625" style="98" customWidth="1"/>
    <col min="5136" max="5137" width="7.140625" style="98" customWidth="1"/>
    <col min="5138" max="5376" width="8.85546875" style="98"/>
    <col min="5377" max="5377" width="50.28515625" style="98" customWidth="1"/>
    <col min="5378" max="5378" width="12.5703125" style="98" customWidth="1"/>
    <col min="5379" max="5383" width="0" style="98" hidden="1" customWidth="1"/>
    <col min="5384" max="5385" width="9.7109375" style="98" customWidth="1"/>
    <col min="5386" max="5387" width="10.7109375" style="98" customWidth="1"/>
    <col min="5388" max="5389" width="10.42578125" style="98" customWidth="1"/>
    <col min="5390" max="5390" width="7.140625" style="98" customWidth="1"/>
    <col min="5391" max="5391" width="12.28515625" style="98" customWidth="1"/>
    <col min="5392" max="5393" width="7.140625" style="98" customWidth="1"/>
    <col min="5394" max="5632" width="8.85546875" style="98"/>
    <col min="5633" max="5633" width="50.28515625" style="98" customWidth="1"/>
    <col min="5634" max="5634" width="12.5703125" style="98" customWidth="1"/>
    <col min="5635" max="5639" width="0" style="98" hidden="1" customWidth="1"/>
    <col min="5640" max="5641" width="9.7109375" style="98" customWidth="1"/>
    <col min="5642" max="5643" width="10.7109375" style="98" customWidth="1"/>
    <col min="5644" max="5645" width="10.42578125" style="98" customWidth="1"/>
    <col min="5646" max="5646" width="7.140625" style="98" customWidth="1"/>
    <col min="5647" max="5647" width="12.28515625" style="98" customWidth="1"/>
    <col min="5648" max="5649" width="7.140625" style="98" customWidth="1"/>
    <col min="5650" max="5888" width="8.85546875" style="98"/>
    <col min="5889" max="5889" width="50.28515625" style="98" customWidth="1"/>
    <col min="5890" max="5890" width="12.5703125" style="98" customWidth="1"/>
    <col min="5891" max="5895" width="0" style="98" hidden="1" customWidth="1"/>
    <col min="5896" max="5897" width="9.7109375" style="98" customWidth="1"/>
    <col min="5898" max="5899" width="10.7109375" style="98" customWidth="1"/>
    <col min="5900" max="5901" width="10.42578125" style="98" customWidth="1"/>
    <col min="5902" max="5902" width="7.140625" style="98" customWidth="1"/>
    <col min="5903" max="5903" width="12.28515625" style="98" customWidth="1"/>
    <col min="5904" max="5905" width="7.140625" style="98" customWidth="1"/>
    <col min="5906" max="6144" width="8.85546875" style="98"/>
    <col min="6145" max="6145" width="50.28515625" style="98" customWidth="1"/>
    <col min="6146" max="6146" width="12.5703125" style="98" customWidth="1"/>
    <col min="6147" max="6151" width="0" style="98" hidden="1" customWidth="1"/>
    <col min="6152" max="6153" width="9.7109375" style="98" customWidth="1"/>
    <col min="6154" max="6155" width="10.7109375" style="98" customWidth="1"/>
    <col min="6156" max="6157" width="10.42578125" style="98" customWidth="1"/>
    <col min="6158" max="6158" width="7.140625" style="98" customWidth="1"/>
    <col min="6159" max="6159" width="12.28515625" style="98" customWidth="1"/>
    <col min="6160" max="6161" width="7.140625" style="98" customWidth="1"/>
    <col min="6162" max="6400" width="8.85546875" style="98"/>
    <col min="6401" max="6401" width="50.28515625" style="98" customWidth="1"/>
    <col min="6402" max="6402" width="12.5703125" style="98" customWidth="1"/>
    <col min="6403" max="6407" width="0" style="98" hidden="1" customWidth="1"/>
    <col min="6408" max="6409" width="9.7109375" style="98" customWidth="1"/>
    <col min="6410" max="6411" width="10.7109375" style="98" customWidth="1"/>
    <col min="6412" max="6413" width="10.42578125" style="98" customWidth="1"/>
    <col min="6414" max="6414" width="7.140625" style="98" customWidth="1"/>
    <col min="6415" max="6415" width="12.28515625" style="98" customWidth="1"/>
    <col min="6416" max="6417" width="7.140625" style="98" customWidth="1"/>
    <col min="6418" max="6656" width="8.85546875" style="98"/>
    <col min="6657" max="6657" width="50.28515625" style="98" customWidth="1"/>
    <col min="6658" max="6658" width="12.5703125" style="98" customWidth="1"/>
    <col min="6659" max="6663" width="0" style="98" hidden="1" customWidth="1"/>
    <col min="6664" max="6665" width="9.7109375" style="98" customWidth="1"/>
    <col min="6666" max="6667" width="10.7109375" style="98" customWidth="1"/>
    <col min="6668" max="6669" width="10.42578125" style="98" customWidth="1"/>
    <col min="6670" max="6670" width="7.140625" style="98" customWidth="1"/>
    <col min="6671" max="6671" width="12.28515625" style="98" customWidth="1"/>
    <col min="6672" max="6673" width="7.140625" style="98" customWidth="1"/>
    <col min="6674" max="6912" width="8.85546875" style="98"/>
    <col min="6913" max="6913" width="50.28515625" style="98" customWidth="1"/>
    <col min="6914" max="6914" width="12.5703125" style="98" customWidth="1"/>
    <col min="6915" max="6919" width="0" style="98" hidden="1" customWidth="1"/>
    <col min="6920" max="6921" width="9.7109375" style="98" customWidth="1"/>
    <col min="6922" max="6923" width="10.7109375" style="98" customWidth="1"/>
    <col min="6924" max="6925" width="10.42578125" style="98" customWidth="1"/>
    <col min="6926" max="6926" width="7.140625" style="98" customWidth="1"/>
    <col min="6927" max="6927" width="12.28515625" style="98" customWidth="1"/>
    <col min="6928" max="6929" width="7.140625" style="98" customWidth="1"/>
    <col min="6930" max="7168" width="8.85546875" style="98"/>
    <col min="7169" max="7169" width="50.28515625" style="98" customWidth="1"/>
    <col min="7170" max="7170" width="12.5703125" style="98" customWidth="1"/>
    <col min="7171" max="7175" width="0" style="98" hidden="1" customWidth="1"/>
    <col min="7176" max="7177" width="9.7109375" style="98" customWidth="1"/>
    <col min="7178" max="7179" width="10.7109375" style="98" customWidth="1"/>
    <col min="7180" max="7181" width="10.42578125" style="98" customWidth="1"/>
    <col min="7182" max="7182" width="7.140625" style="98" customWidth="1"/>
    <col min="7183" max="7183" width="12.28515625" style="98" customWidth="1"/>
    <col min="7184" max="7185" width="7.140625" style="98" customWidth="1"/>
    <col min="7186" max="7424" width="8.85546875" style="98"/>
    <col min="7425" max="7425" width="50.28515625" style="98" customWidth="1"/>
    <col min="7426" max="7426" width="12.5703125" style="98" customWidth="1"/>
    <col min="7427" max="7431" width="0" style="98" hidden="1" customWidth="1"/>
    <col min="7432" max="7433" width="9.7109375" style="98" customWidth="1"/>
    <col min="7434" max="7435" width="10.7109375" style="98" customWidth="1"/>
    <col min="7436" max="7437" width="10.42578125" style="98" customWidth="1"/>
    <col min="7438" max="7438" width="7.140625" style="98" customWidth="1"/>
    <col min="7439" max="7439" width="12.28515625" style="98" customWidth="1"/>
    <col min="7440" max="7441" width="7.140625" style="98" customWidth="1"/>
    <col min="7442" max="7680" width="8.85546875" style="98"/>
    <col min="7681" max="7681" width="50.28515625" style="98" customWidth="1"/>
    <col min="7682" max="7682" width="12.5703125" style="98" customWidth="1"/>
    <col min="7683" max="7687" width="0" style="98" hidden="1" customWidth="1"/>
    <col min="7688" max="7689" width="9.7109375" style="98" customWidth="1"/>
    <col min="7690" max="7691" width="10.7109375" style="98" customWidth="1"/>
    <col min="7692" max="7693" width="10.42578125" style="98" customWidth="1"/>
    <col min="7694" max="7694" width="7.140625" style="98" customWidth="1"/>
    <col min="7695" max="7695" width="12.28515625" style="98" customWidth="1"/>
    <col min="7696" max="7697" width="7.140625" style="98" customWidth="1"/>
    <col min="7698" max="7936" width="8.85546875" style="98"/>
    <col min="7937" max="7937" width="50.28515625" style="98" customWidth="1"/>
    <col min="7938" max="7938" width="12.5703125" style="98" customWidth="1"/>
    <col min="7939" max="7943" width="0" style="98" hidden="1" customWidth="1"/>
    <col min="7944" max="7945" width="9.7109375" style="98" customWidth="1"/>
    <col min="7946" max="7947" width="10.7109375" style="98" customWidth="1"/>
    <col min="7948" max="7949" width="10.42578125" style="98" customWidth="1"/>
    <col min="7950" max="7950" width="7.140625" style="98" customWidth="1"/>
    <col min="7951" max="7951" width="12.28515625" style="98" customWidth="1"/>
    <col min="7952" max="7953" width="7.140625" style="98" customWidth="1"/>
    <col min="7954" max="8192" width="8.85546875" style="98"/>
    <col min="8193" max="8193" width="50.28515625" style="98" customWidth="1"/>
    <col min="8194" max="8194" width="12.5703125" style="98" customWidth="1"/>
    <col min="8195" max="8199" width="0" style="98" hidden="1" customWidth="1"/>
    <col min="8200" max="8201" width="9.7109375" style="98" customWidth="1"/>
    <col min="8202" max="8203" width="10.7109375" style="98" customWidth="1"/>
    <col min="8204" max="8205" width="10.42578125" style="98" customWidth="1"/>
    <col min="8206" max="8206" width="7.140625" style="98" customWidth="1"/>
    <col min="8207" max="8207" width="12.28515625" style="98" customWidth="1"/>
    <col min="8208" max="8209" width="7.140625" style="98" customWidth="1"/>
    <col min="8210" max="8448" width="8.85546875" style="98"/>
    <col min="8449" max="8449" width="50.28515625" style="98" customWidth="1"/>
    <col min="8450" max="8450" width="12.5703125" style="98" customWidth="1"/>
    <col min="8451" max="8455" width="0" style="98" hidden="1" customWidth="1"/>
    <col min="8456" max="8457" width="9.7109375" style="98" customWidth="1"/>
    <col min="8458" max="8459" width="10.7109375" style="98" customWidth="1"/>
    <col min="8460" max="8461" width="10.42578125" style="98" customWidth="1"/>
    <col min="8462" max="8462" width="7.140625" style="98" customWidth="1"/>
    <col min="8463" max="8463" width="12.28515625" style="98" customWidth="1"/>
    <col min="8464" max="8465" width="7.140625" style="98" customWidth="1"/>
    <col min="8466" max="8704" width="8.85546875" style="98"/>
    <col min="8705" max="8705" width="50.28515625" style="98" customWidth="1"/>
    <col min="8706" max="8706" width="12.5703125" style="98" customWidth="1"/>
    <col min="8707" max="8711" width="0" style="98" hidden="1" customWidth="1"/>
    <col min="8712" max="8713" width="9.7109375" style="98" customWidth="1"/>
    <col min="8714" max="8715" width="10.7109375" style="98" customWidth="1"/>
    <col min="8716" max="8717" width="10.42578125" style="98" customWidth="1"/>
    <col min="8718" max="8718" width="7.140625" style="98" customWidth="1"/>
    <col min="8719" max="8719" width="12.28515625" style="98" customWidth="1"/>
    <col min="8720" max="8721" width="7.140625" style="98" customWidth="1"/>
    <col min="8722" max="8960" width="8.85546875" style="98"/>
    <col min="8961" max="8961" width="50.28515625" style="98" customWidth="1"/>
    <col min="8962" max="8962" width="12.5703125" style="98" customWidth="1"/>
    <col min="8963" max="8967" width="0" style="98" hidden="1" customWidth="1"/>
    <col min="8968" max="8969" width="9.7109375" style="98" customWidth="1"/>
    <col min="8970" max="8971" width="10.7109375" style="98" customWidth="1"/>
    <col min="8972" max="8973" width="10.42578125" style="98" customWidth="1"/>
    <col min="8974" max="8974" width="7.140625" style="98" customWidth="1"/>
    <col min="8975" max="8975" width="12.28515625" style="98" customWidth="1"/>
    <col min="8976" max="8977" width="7.140625" style="98" customWidth="1"/>
    <col min="8978" max="9216" width="8.85546875" style="98"/>
    <col min="9217" max="9217" width="50.28515625" style="98" customWidth="1"/>
    <col min="9218" max="9218" width="12.5703125" style="98" customWidth="1"/>
    <col min="9219" max="9223" width="0" style="98" hidden="1" customWidth="1"/>
    <col min="9224" max="9225" width="9.7109375" style="98" customWidth="1"/>
    <col min="9226" max="9227" width="10.7109375" style="98" customWidth="1"/>
    <col min="9228" max="9229" width="10.42578125" style="98" customWidth="1"/>
    <col min="9230" max="9230" width="7.140625" style="98" customWidth="1"/>
    <col min="9231" max="9231" width="12.28515625" style="98" customWidth="1"/>
    <col min="9232" max="9233" width="7.140625" style="98" customWidth="1"/>
    <col min="9234" max="9472" width="8.85546875" style="98"/>
    <col min="9473" max="9473" width="50.28515625" style="98" customWidth="1"/>
    <col min="9474" max="9474" width="12.5703125" style="98" customWidth="1"/>
    <col min="9475" max="9479" width="0" style="98" hidden="1" customWidth="1"/>
    <col min="9480" max="9481" width="9.7109375" style="98" customWidth="1"/>
    <col min="9482" max="9483" width="10.7109375" style="98" customWidth="1"/>
    <col min="9484" max="9485" width="10.42578125" style="98" customWidth="1"/>
    <col min="9486" max="9486" width="7.140625" style="98" customWidth="1"/>
    <col min="9487" max="9487" width="12.28515625" style="98" customWidth="1"/>
    <col min="9488" max="9489" width="7.140625" style="98" customWidth="1"/>
    <col min="9490" max="9728" width="8.85546875" style="98"/>
    <col min="9729" max="9729" width="50.28515625" style="98" customWidth="1"/>
    <col min="9730" max="9730" width="12.5703125" style="98" customWidth="1"/>
    <col min="9731" max="9735" width="0" style="98" hidden="1" customWidth="1"/>
    <col min="9736" max="9737" width="9.7109375" style="98" customWidth="1"/>
    <col min="9738" max="9739" width="10.7109375" style="98" customWidth="1"/>
    <col min="9740" max="9741" width="10.42578125" style="98" customWidth="1"/>
    <col min="9742" max="9742" width="7.140625" style="98" customWidth="1"/>
    <col min="9743" max="9743" width="12.28515625" style="98" customWidth="1"/>
    <col min="9744" max="9745" width="7.140625" style="98" customWidth="1"/>
    <col min="9746" max="9984" width="8.85546875" style="98"/>
    <col min="9985" max="9985" width="50.28515625" style="98" customWidth="1"/>
    <col min="9986" max="9986" width="12.5703125" style="98" customWidth="1"/>
    <col min="9987" max="9991" width="0" style="98" hidden="1" customWidth="1"/>
    <col min="9992" max="9993" width="9.7109375" style="98" customWidth="1"/>
    <col min="9994" max="9995" width="10.7109375" style="98" customWidth="1"/>
    <col min="9996" max="9997" width="10.42578125" style="98" customWidth="1"/>
    <col min="9998" max="9998" width="7.140625" style="98" customWidth="1"/>
    <col min="9999" max="9999" width="12.28515625" style="98" customWidth="1"/>
    <col min="10000" max="10001" width="7.140625" style="98" customWidth="1"/>
    <col min="10002" max="10240" width="8.85546875" style="98"/>
    <col min="10241" max="10241" width="50.28515625" style="98" customWidth="1"/>
    <col min="10242" max="10242" width="12.5703125" style="98" customWidth="1"/>
    <col min="10243" max="10247" width="0" style="98" hidden="1" customWidth="1"/>
    <col min="10248" max="10249" width="9.7109375" style="98" customWidth="1"/>
    <col min="10250" max="10251" width="10.7109375" style="98" customWidth="1"/>
    <col min="10252" max="10253" width="10.42578125" style="98" customWidth="1"/>
    <col min="10254" max="10254" width="7.140625" style="98" customWidth="1"/>
    <col min="10255" max="10255" width="12.28515625" style="98" customWidth="1"/>
    <col min="10256" max="10257" width="7.140625" style="98" customWidth="1"/>
    <col min="10258" max="10496" width="8.85546875" style="98"/>
    <col min="10497" max="10497" width="50.28515625" style="98" customWidth="1"/>
    <col min="10498" max="10498" width="12.5703125" style="98" customWidth="1"/>
    <col min="10499" max="10503" width="0" style="98" hidden="1" customWidth="1"/>
    <col min="10504" max="10505" width="9.7109375" style="98" customWidth="1"/>
    <col min="10506" max="10507" width="10.7109375" style="98" customWidth="1"/>
    <col min="10508" max="10509" width="10.42578125" style="98" customWidth="1"/>
    <col min="10510" max="10510" width="7.140625" style="98" customWidth="1"/>
    <col min="10511" max="10511" width="12.28515625" style="98" customWidth="1"/>
    <col min="10512" max="10513" width="7.140625" style="98" customWidth="1"/>
    <col min="10514" max="10752" width="8.85546875" style="98"/>
    <col min="10753" max="10753" width="50.28515625" style="98" customWidth="1"/>
    <col min="10754" max="10754" width="12.5703125" style="98" customWidth="1"/>
    <col min="10755" max="10759" width="0" style="98" hidden="1" customWidth="1"/>
    <col min="10760" max="10761" width="9.7109375" style="98" customWidth="1"/>
    <col min="10762" max="10763" width="10.7109375" style="98" customWidth="1"/>
    <col min="10764" max="10765" width="10.42578125" style="98" customWidth="1"/>
    <col min="10766" max="10766" width="7.140625" style="98" customWidth="1"/>
    <col min="10767" max="10767" width="12.28515625" style="98" customWidth="1"/>
    <col min="10768" max="10769" width="7.140625" style="98" customWidth="1"/>
    <col min="10770" max="11008" width="8.85546875" style="98"/>
    <col min="11009" max="11009" width="50.28515625" style="98" customWidth="1"/>
    <col min="11010" max="11010" width="12.5703125" style="98" customWidth="1"/>
    <col min="11011" max="11015" width="0" style="98" hidden="1" customWidth="1"/>
    <col min="11016" max="11017" width="9.7109375" style="98" customWidth="1"/>
    <col min="11018" max="11019" width="10.7109375" style="98" customWidth="1"/>
    <col min="11020" max="11021" width="10.42578125" style="98" customWidth="1"/>
    <col min="11022" max="11022" width="7.140625" style="98" customWidth="1"/>
    <col min="11023" max="11023" width="12.28515625" style="98" customWidth="1"/>
    <col min="11024" max="11025" width="7.140625" style="98" customWidth="1"/>
    <col min="11026" max="11264" width="8.85546875" style="98"/>
    <col min="11265" max="11265" width="50.28515625" style="98" customWidth="1"/>
    <col min="11266" max="11266" width="12.5703125" style="98" customWidth="1"/>
    <col min="11267" max="11271" width="0" style="98" hidden="1" customWidth="1"/>
    <col min="11272" max="11273" width="9.7109375" style="98" customWidth="1"/>
    <col min="11274" max="11275" width="10.7109375" style="98" customWidth="1"/>
    <col min="11276" max="11277" width="10.42578125" style="98" customWidth="1"/>
    <col min="11278" max="11278" width="7.140625" style="98" customWidth="1"/>
    <col min="11279" max="11279" width="12.28515625" style="98" customWidth="1"/>
    <col min="11280" max="11281" width="7.140625" style="98" customWidth="1"/>
    <col min="11282" max="11520" width="8.85546875" style="98"/>
    <col min="11521" max="11521" width="50.28515625" style="98" customWidth="1"/>
    <col min="11522" max="11522" width="12.5703125" style="98" customWidth="1"/>
    <col min="11523" max="11527" width="0" style="98" hidden="1" customWidth="1"/>
    <col min="11528" max="11529" width="9.7109375" style="98" customWidth="1"/>
    <col min="11530" max="11531" width="10.7109375" style="98" customWidth="1"/>
    <col min="11532" max="11533" width="10.42578125" style="98" customWidth="1"/>
    <col min="11534" max="11534" width="7.140625" style="98" customWidth="1"/>
    <col min="11535" max="11535" width="12.28515625" style="98" customWidth="1"/>
    <col min="11536" max="11537" width="7.140625" style="98" customWidth="1"/>
    <col min="11538" max="11776" width="8.85546875" style="98"/>
    <col min="11777" max="11777" width="50.28515625" style="98" customWidth="1"/>
    <col min="11778" max="11778" width="12.5703125" style="98" customWidth="1"/>
    <col min="11779" max="11783" width="0" style="98" hidden="1" customWidth="1"/>
    <col min="11784" max="11785" width="9.7109375" style="98" customWidth="1"/>
    <col min="11786" max="11787" width="10.7109375" style="98" customWidth="1"/>
    <col min="11788" max="11789" width="10.42578125" style="98" customWidth="1"/>
    <col min="11790" max="11790" width="7.140625" style="98" customWidth="1"/>
    <col min="11791" max="11791" width="12.28515625" style="98" customWidth="1"/>
    <col min="11792" max="11793" width="7.140625" style="98" customWidth="1"/>
    <col min="11794" max="12032" width="8.85546875" style="98"/>
    <col min="12033" max="12033" width="50.28515625" style="98" customWidth="1"/>
    <col min="12034" max="12034" width="12.5703125" style="98" customWidth="1"/>
    <col min="12035" max="12039" width="0" style="98" hidden="1" customWidth="1"/>
    <col min="12040" max="12041" width="9.7109375" style="98" customWidth="1"/>
    <col min="12042" max="12043" width="10.7109375" style="98" customWidth="1"/>
    <col min="12044" max="12045" width="10.42578125" style="98" customWidth="1"/>
    <col min="12046" max="12046" width="7.140625" style="98" customWidth="1"/>
    <col min="12047" max="12047" width="12.28515625" style="98" customWidth="1"/>
    <col min="12048" max="12049" width="7.140625" style="98" customWidth="1"/>
    <col min="12050" max="12288" width="8.85546875" style="98"/>
    <col min="12289" max="12289" width="50.28515625" style="98" customWidth="1"/>
    <col min="12290" max="12290" width="12.5703125" style="98" customWidth="1"/>
    <col min="12291" max="12295" width="0" style="98" hidden="1" customWidth="1"/>
    <col min="12296" max="12297" width="9.7109375" style="98" customWidth="1"/>
    <col min="12298" max="12299" width="10.7109375" style="98" customWidth="1"/>
    <col min="12300" max="12301" width="10.42578125" style="98" customWidth="1"/>
    <col min="12302" max="12302" width="7.140625" style="98" customWidth="1"/>
    <col min="12303" max="12303" width="12.28515625" style="98" customWidth="1"/>
    <col min="12304" max="12305" width="7.140625" style="98" customWidth="1"/>
    <col min="12306" max="12544" width="8.85546875" style="98"/>
    <col min="12545" max="12545" width="50.28515625" style="98" customWidth="1"/>
    <col min="12546" max="12546" width="12.5703125" style="98" customWidth="1"/>
    <col min="12547" max="12551" width="0" style="98" hidden="1" customWidth="1"/>
    <col min="12552" max="12553" width="9.7109375" style="98" customWidth="1"/>
    <col min="12554" max="12555" width="10.7109375" style="98" customWidth="1"/>
    <col min="12556" max="12557" width="10.42578125" style="98" customWidth="1"/>
    <col min="12558" max="12558" width="7.140625" style="98" customWidth="1"/>
    <col min="12559" max="12559" width="12.28515625" style="98" customWidth="1"/>
    <col min="12560" max="12561" width="7.140625" style="98" customWidth="1"/>
    <col min="12562" max="12800" width="8.85546875" style="98"/>
    <col min="12801" max="12801" width="50.28515625" style="98" customWidth="1"/>
    <col min="12802" max="12802" width="12.5703125" style="98" customWidth="1"/>
    <col min="12803" max="12807" width="0" style="98" hidden="1" customWidth="1"/>
    <col min="12808" max="12809" width="9.7109375" style="98" customWidth="1"/>
    <col min="12810" max="12811" width="10.7109375" style="98" customWidth="1"/>
    <col min="12812" max="12813" width="10.42578125" style="98" customWidth="1"/>
    <col min="12814" max="12814" width="7.140625" style="98" customWidth="1"/>
    <col min="12815" max="12815" width="12.28515625" style="98" customWidth="1"/>
    <col min="12816" max="12817" width="7.140625" style="98" customWidth="1"/>
    <col min="12818" max="13056" width="8.85546875" style="98"/>
    <col min="13057" max="13057" width="50.28515625" style="98" customWidth="1"/>
    <col min="13058" max="13058" width="12.5703125" style="98" customWidth="1"/>
    <col min="13059" max="13063" width="0" style="98" hidden="1" customWidth="1"/>
    <col min="13064" max="13065" width="9.7109375" style="98" customWidth="1"/>
    <col min="13066" max="13067" width="10.7109375" style="98" customWidth="1"/>
    <col min="13068" max="13069" width="10.42578125" style="98" customWidth="1"/>
    <col min="13070" max="13070" width="7.140625" style="98" customWidth="1"/>
    <col min="13071" max="13071" width="12.28515625" style="98" customWidth="1"/>
    <col min="13072" max="13073" width="7.140625" style="98" customWidth="1"/>
    <col min="13074" max="13312" width="8.85546875" style="98"/>
    <col min="13313" max="13313" width="50.28515625" style="98" customWidth="1"/>
    <col min="13314" max="13314" width="12.5703125" style="98" customWidth="1"/>
    <col min="13315" max="13319" width="0" style="98" hidden="1" customWidth="1"/>
    <col min="13320" max="13321" width="9.7109375" style="98" customWidth="1"/>
    <col min="13322" max="13323" width="10.7109375" style="98" customWidth="1"/>
    <col min="13324" max="13325" width="10.42578125" style="98" customWidth="1"/>
    <col min="13326" max="13326" width="7.140625" style="98" customWidth="1"/>
    <col min="13327" max="13327" width="12.28515625" style="98" customWidth="1"/>
    <col min="13328" max="13329" width="7.140625" style="98" customWidth="1"/>
    <col min="13330" max="13568" width="8.85546875" style="98"/>
    <col min="13569" max="13569" width="50.28515625" style="98" customWidth="1"/>
    <col min="13570" max="13570" width="12.5703125" style="98" customWidth="1"/>
    <col min="13571" max="13575" width="0" style="98" hidden="1" customWidth="1"/>
    <col min="13576" max="13577" width="9.7109375" style="98" customWidth="1"/>
    <col min="13578" max="13579" width="10.7109375" style="98" customWidth="1"/>
    <col min="13580" max="13581" width="10.42578125" style="98" customWidth="1"/>
    <col min="13582" max="13582" width="7.140625" style="98" customWidth="1"/>
    <col min="13583" max="13583" width="12.28515625" style="98" customWidth="1"/>
    <col min="13584" max="13585" width="7.140625" style="98" customWidth="1"/>
    <col min="13586" max="13824" width="8.85546875" style="98"/>
    <col min="13825" max="13825" width="50.28515625" style="98" customWidth="1"/>
    <col min="13826" max="13826" width="12.5703125" style="98" customWidth="1"/>
    <col min="13827" max="13831" width="0" style="98" hidden="1" customWidth="1"/>
    <col min="13832" max="13833" width="9.7109375" style="98" customWidth="1"/>
    <col min="13834" max="13835" width="10.7109375" style="98" customWidth="1"/>
    <col min="13836" max="13837" width="10.42578125" style="98" customWidth="1"/>
    <col min="13838" max="13838" width="7.140625" style="98" customWidth="1"/>
    <col min="13839" max="13839" width="12.28515625" style="98" customWidth="1"/>
    <col min="13840" max="13841" width="7.140625" style="98" customWidth="1"/>
    <col min="13842" max="14080" width="8.85546875" style="98"/>
    <col min="14081" max="14081" width="50.28515625" style="98" customWidth="1"/>
    <col min="14082" max="14082" width="12.5703125" style="98" customWidth="1"/>
    <col min="14083" max="14087" width="0" style="98" hidden="1" customWidth="1"/>
    <col min="14088" max="14089" width="9.7109375" style="98" customWidth="1"/>
    <col min="14090" max="14091" width="10.7109375" style="98" customWidth="1"/>
    <col min="14092" max="14093" width="10.42578125" style="98" customWidth="1"/>
    <col min="14094" max="14094" width="7.140625" style="98" customWidth="1"/>
    <col min="14095" max="14095" width="12.28515625" style="98" customWidth="1"/>
    <col min="14096" max="14097" width="7.140625" style="98" customWidth="1"/>
    <col min="14098" max="14336" width="8.85546875" style="98"/>
    <col min="14337" max="14337" width="50.28515625" style="98" customWidth="1"/>
    <col min="14338" max="14338" width="12.5703125" style="98" customWidth="1"/>
    <col min="14339" max="14343" width="0" style="98" hidden="1" customWidth="1"/>
    <col min="14344" max="14345" width="9.7109375" style="98" customWidth="1"/>
    <col min="14346" max="14347" width="10.7109375" style="98" customWidth="1"/>
    <col min="14348" max="14349" width="10.42578125" style="98" customWidth="1"/>
    <col min="14350" max="14350" width="7.140625" style="98" customWidth="1"/>
    <col min="14351" max="14351" width="12.28515625" style="98" customWidth="1"/>
    <col min="14352" max="14353" width="7.140625" style="98" customWidth="1"/>
    <col min="14354" max="14592" width="8.85546875" style="98"/>
    <col min="14593" max="14593" width="50.28515625" style="98" customWidth="1"/>
    <col min="14594" max="14594" width="12.5703125" style="98" customWidth="1"/>
    <col min="14595" max="14599" width="0" style="98" hidden="1" customWidth="1"/>
    <col min="14600" max="14601" width="9.7109375" style="98" customWidth="1"/>
    <col min="14602" max="14603" width="10.7109375" style="98" customWidth="1"/>
    <col min="14604" max="14605" width="10.42578125" style="98" customWidth="1"/>
    <col min="14606" max="14606" width="7.140625" style="98" customWidth="1"/>
    <col min="14607" max="14607" width="12.28515625" style="98" customWidth="1"/>
    <col min="14608" max="14609" width="7.140625" style="98" customWidth="1"/>
    <col min="14610" max="14848" width="8.85546875" style="98"/>
    <col min="14849" max="14849" width="50.28515625" style="98" customWidth="1"/>
    <col min="14850" max="14850" width="12.5703125" style="98" customWidth="1"/>
    <col min="14851" max="14855" width="0" style="98" hidden="1" customWidth="1"/>
    <col min="14856" max="14857" width="9.7109375" style="98" customWidth="1"/>
    <col min="14858" max="14859" width="10.7109375" style="98" customWidth="1"/>
    <col min="14860" max="14861" width="10.42578125" style="98" customWidth="1"/>
    <col min="14862" max="14862" width="7.140625" style="98" customWidth="1"/>
    <col min="14863" max="14863" width="12.28515625" style="98" customWidth="1"/>
    <col min="14864" max="14865" width="7.140625" style="98" customWidth="1"/>
    <col min="14866" max="15104" width="8.85546875" style="98"/>
    <col min="15105" max="15105" width="50.28515625" style="98" customWidth="1"/>
    <col min="15106" max="15106" width="12.5703125" style="98" customWidth="1"/>
    <col min="15107" max="15111" width="0" style="98" hidden="1" customWidth="1"/>
    <col min="15112" max="15113" width="9.7109375" style="98" customWidth="1"/>
    <col min="15114" max="15115" width="10.7109375" style="98" customWidth="1"/>
    <col min="15116" max="15117" width="10.42578125" style="98" customWidth="1"/>
    <col min="15118" max="15118" width="7.140625" style="98" customWidth="1"/>
    <col min="15119" max="15119" width="12.28515625" style="98" customWidth="1"/>
    <col min="15120" max="15121" width="7.140625" style="98" customWidth="1"/>
    <col min="15122" max="15360" width="8.85546875" style="98"/>
    <col min="15361" max="15361" width="50.28515625" style="98" customWidth="1"/>
    <col min="15362" max="15362" width="12.5703125" style="98" customWidth="1"/>
    <col min="15363" max="15367" width="0" style="98" hidden="1" customWidth="1"/>
    <col min="15368" max="15369" width="9.7109375" style="98" customWidth="1"/>
    <col min="15370" max="15371" width="10.7109375" style="98" customWidth="1"/>
    <col min="15372" max="15373" width="10.42578125" style="98" customWidth="1"/>
    <col min="15374" max="15374" width="7.140625" style="98" customWidth="1"/>
    <col min="15375" max="15375" width="12.28515625" style="98" customWidth="1"/>
    <col min="15376" max="15377" width="7.140625" style="98" customWidth="1"/>
    <col min="15378" max="15616" width="8.85546875" style="98"/>
    <col min="15617" max="15617" width="50.28515625" style="98" customWidth="1"/>
    <col min="15618" max="15618" width="12.5703125" style="98" customWidth="1"/>
    <col min="15619" max="15623" width="0" style="98" hidden="1" customWidth="1"/>
    <col min="15624" max="15625" width="9.7109375" style="98" customWidth="1"/>
    <col min="15626" max="15627" width="10.7109375" style="98" customWidth="1"/>
    <col min="15628" max="15629" width="10.42578125" style="98" customWidth="1"/>
    <col min="15630" max="15630" width="7.140625" style="98" customWidth="1"/>
    <col min="15631" max="15631" width="12.28515625" style="98" customWidth="1"/>
    <col min="15632" max="15633" width="7.140625" style="98" customWidth="1"/>
    <col min="15634" max="15872" width="8.85546875" style="98"/>
    <col min="15873" max="15873" width="50.28515625" style="98" customWidth="1"/>
    <col min="15874" max="15874" width="12.5703125" style="98" customWidth="1"/>
    <col min="15875" max="15879" width="0" style="98" hidden="1" customWidth="1"/>
    <col min="15880" max="15881" width="9.7109375" style="98" customWidth="1"/>
    <col min="15882" max="15883" width="10.7109375" style="98" customWidth="1"/>
    <col min="15884" max="15885" width="10.42578125" style="98" customWidth="1"/>
    <col min="15886" max="15886" width="7.140625" style="98" customWidth="1"/>
    <col min="15887" max="15887" width="12.28515625" style="98" customWidth="1"/>
    <col min="15888" max="15889" width="7.140625" style="98" customWidth="1"/>
    <col min="15890" max="16128" width="8.85546875" style="98"/>
    <col min="16129" max="16129" width="50.28515625" style="98" customWidth="1"/>
    <col min="16130" max="16130" width="12.5703125" style="98" customWidth="1"/>
    <col min="16131" max="16135" width="0" style="98" hidden="1" customWidth="1"/>
    <col min="16136" max="16137" width="9.7109375" style="98" customWidth="1"/>
    <col min="16138" max="16139" width="10.7109375" style="98" customWidth="1"/>
    <col min="16140" max="16141" width="10.42578125" style="98" customWidth="1"/>
    <col min="16142" max="16142" width="7.140625" style="98" customWidth="1"/>
    <col min="16143" max="16143" width="12.28515625" style="98" customWidth="1"/>
    <col min="16144" max="16145" width="7.140625" style="98" customWidth="1"/>
    <col min="16146" max="16384" width="8.85546875" style="98"/>
  </cols>
  <sheetData>
    <row r="1" spans="1:14" ht="35.25" customHeight="1">
      <c r="A1" s="411" t="s">
        <v>225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ht="31.5">
      <c r="A2" s="381" t="s">
        <v>2</v>
      </c>
      <c r="B2" s="377" t="s">
        <v>3</v>
      </c>
      <c r="C2" s="99" t="s">
        <v>4</v>
      </c>
      <c r="D2" s="100" t="s">
        <v>5</v>
      </c>
      <c r="E2" s="101" t="s">
        <v>6</v>
      </c>
      <c r="F2" s="100" t="s">
        <v>7</v>
      </c>
      <c r="G2" s="102" t="s">
        <v>8</v>
      </c>
      <c r="H2" s="389" t="s">
        <v>8</v>
      </c>
      <c r="I2" s="390"/>
      <c r="J2" s="396"/>
      <c r="K2" s="260" t="s">
        <v>9</v>
      </c>
      <c r="L2" s="403" t="s">
        <v>10</v>
      </c>
      <c r="M2" s="403"/>
      <c r="N2" s="403"/>
    </row>
    <row r="3" spans="1:14">
      <c r="A3" s="382"/>
      <c r="B3" s="384"/>
      <c r="C3" s="104"/>
      <c r="D3" s="105"/>
      <c r="E3" s="106"/>
      <c r="F3" s="104"/>
      <c r="G3" s="381">
        <v>2011</v>
      </c>
      <c r="H3" s="404">
        <v>2014</v>
      </c>
      <c r="I3" s="398">
        <v>2015</v>
      </c>
      <c r="J3" s="393">
        <v>2016</v>
      </c>
      <c r="K3" s="403">
        <v>2017</v>
      </c>
      <c r="L3" s="402">
        <v>2018</v>
      </c>
      <c r="M3" s="402">
        <v>2019</v>
      </c>
      <c r="N3" s="402">
        <v>2020</v>
      </c>
    </row>
    <row r="4" spans="1:14">
      <c r="A4" s="383"/>
      <c r="B4" s="378"/>
      <c r="C4" s="104"/>
      <c r="D4" s="105"/>
      <c r="E4" s="106"/>
      <c r="F4" s="104"/>
      <c r="G4" s="383"/>
      <c r="H4" s="397"/>
      <c r="I4" s="398"/>
      <c r="J4" s="395"/>
      <c r="K4" s="403"/>
      <c r="L4" s="402"/>
      <c r="M4" s="402"/>
      <c r="N4" s="402"/>
    </row>
    <row r="5" spans="1:14" ht="15">
      <c r="A5" s="107" t="s">
        <v>11</v>
      </c>
      <c r="B5" s="108"/>
      <c r="C5" s="109"/>
      <c r="D5" s="110"/>
      <c r="E5" s="110"/>
      <c r="F5" s="110"/>
      <c r="G5" s="111"/>
      <c r="H5" s="117"/>
      <c r="I5" s="146"/>
      <c r="J5" s="146"/>
      <c r="K5" s="117"/>
      <c r="L5" s="303"/>
      <c r="M5" s="146"/>
      <c r="N5" s="111"/>
    </row>
    <row r="6" spans="1:14" ht="21.6" customHeight="1">
      <c r="A6" s="113" t="s">
        <v>12</v>
      </c>
      <c r="B6" s="114" t="s">
        <v>13</v>
      </c>
      <c r="C6" s="115">
        <v>1</v>
      </c>
      <c r="D6" s="116"/>
      <c r="E6" s="116"/>
      <c r="F6" s="116"/>
      <c r="G6" s="117">
        <v>63.08</v>
      </c>
      <c r="H6" s="119">
        <v>67.22</v>
      </c>
      <c r="I6" s="119">
        <v>68.42</v>
      </c>
      <c r="J6" s="119">
        <f>I6+1.3</f>
        <v>69.72</v>
      </c>
      <c r="K6" s="119">
        <f>J6+1.4</f>
        <v>71.12</v>
      </c>
      <c r="L6" s="304">
        <f>K6+1.4</f>
        <v>72.52000000000001</v>
      </c>
      <c r="M6" s="132">
        <f>L6+1.4</f>
        <v>73.920000000000016</v>
      </c>
      <c r="N6" s="317">
        <f>M6+1.4</f>
        <v>75.320000000000022</v>
      </c>
    </row>
    <row r="7" spans="1:14" ht="15" customHeight="1">
      <c r="A7" s="113" t="s">
        <v>14</v>
      </c>
      <c r="B7" s="120" t="s">
        <v>15</v>
      </c>
      <c r="C7" s="115"/>
      <c r="D7" s="116"/>
      <c r="E7" s="116"/>
      <c r="F7" s="116"/>
      <c r="G7" s="117"/>
      <c r="H7" s="121">
        <v>102.11</v>
      </c>
      <c r="I7" s="121">
        <f t="shared" ref="I7:N7" si="0">I6/H6*100</f>
        <v>101.78518298125559</v>
      </c>
      <c r="J7" s="121">
        <f t="shared" si="0"/>
        <v>101.90002923121895</v>
      </c>
      <c r="K7" s="121">
        <f t="shared" si="0"/>
        <v>102.00803212851406</v>
      </c>
      <c r="L7" s="305">
        <f t="shared" si="0"/>
        <v>101.9685039370079</v>
      </c>
      <c r="M7" s="121">
        <f t="shared" si="0"/>
        <v>101.93050193050195</v>
      </c>
      <c r="N7" s="121">
        <f t="shared" si="0"/>
        <v>101.89393939393941</v>
      </c>
    </row>
    <row r="8" spans="1:14" ht="15" customHeight="1">
      <c r="A8" s="113" t="s">
        <v>16</v>
      </c>
      <c r="B8" s="120" t="s">
        <v>15</v>
      </c>
      <c r="C8" s="115"/>
      <c r="D8" s="116"/>
      <c r="E8" s="116"/>
      <c r="F8" s="116"/>
      <c r="G8" s="117"/>
      <c r="H8" s="119"/>
      <c r="I8" s="119"/>
      <c r="J8" s="119"/>
      <c r="K8" s="119"/>
      <c r="L8" s="304"/>
      <c r="M8" s="119"/>
      <c r="N8" s="317"/>
    </row>
    <row r="9" spans="1:14" ht="15">
      <c r="A9" s="122" t="s">
        <v>17</v>
      </c>
      <c r="B9" s="120"/>
      <c r="C9" s="115"/>
      <c r="D9" s="116"/>
      <c r="E9" s="116"/>
      <c r="F9" s="116"/>
      <c r="G9" s="123"/>
      <c r="H9" s="119"/>
      <c r="I9" s="119"/>
      <c r="J9" s="119"/>
      <c r="K9" s="119"/>
      <c r="L9" s="304"/>
      <c r="M9" s="119"/>
      <c r="N9" s="111"/>
    </row>
    <row r="10" spans="1:14" ht="18" customHeight="1">
      <c r="A10" s="124" t="s">
        <v>18</v>
      </c>
      <c r="B10" s="125"/>
      <c r="C10" s="115"/>
      <c r="D10" s="116"/>
      <c r="E10" s="116"/>
      <c r="F10" s="116"/>
      <c r="G10" s="125"/>
      <c r="H10" s="127"/>
      <c r="I10" s="127"/>
      <c r="J10" s="127"/>
      <c r="K10" s="127"/>
      <c r="L10" s="127"/>
      <c r="M10" s="146"/>
      <c r="N10" s="111"/>
    </row>
    <row r="11" spans="1:14" ht="24">
      <c r="A11" s="129" t="s">
        <v>20</v>
      </c>
      <c r="B11" s="114" t="s">
        <v>21</v>
      </c>
      <c r="C11" s="115"/>
      <c r="D11" s="116"/>
      <c r="E11" s="116"/>
      <c r="F11" s="116"/>
      <c r="G11" s="117"/>
      <c r="H11" s="119"/>
      <c r="I11" s="119"/>
      <c r="J11" s="119"/>
      <c r="K11" s="119"/>
      <c r="L11" s="304"/>
      <c r="M11" s="119"/>
      <c r="N11" s="111"/>
    </row>
    <row r="12" spans="1:14" ht="12.75">
      <c r="A12" s="113" t="s">
        <v>14</v>
      </c>
      <c r="B12" s="120" t="s">
        <v>15</v>
      </c>
      <c r="C12" s="115"/>
      <c r="D12" s="116"/>
      <c r="E12" s="116"/>
      <c r="F12" s="116"/>
      <c r="G12" s="117"/>
      <c r="H12" s="119"/>
      <c r="I12" s="119"/>
      <c r="J12" s="119"/>
      <c r="K12" s="119"/>
      <c r="L12" s="304"/>
      <c r="M12" s="119"/>
      <c r="N12" s="111"/>
    </row>
    <row r="13" spans="1:14" ht="12.75">
      <c r="A13" s="113" t="s">
        <v>16</v>
      </c>
      <c r="B13" s="120" t="s">
        <v>15</v>
      </c>
      <c r="C13" s="115"/>
      <c r="D13" s="116"/>
      <c r="E13" s="116"/>
      <c r="F13" s="116"/>
      <c r="G13" s="117"/>
      <c r="H13" s="119"/>
      <c r="I13" s="119"/>
      <c r="J13" s="119"/>
      <c r="K13" s="119"/>
      <c r="L13" s="304"/>
      <c r="M13" s="119"/>
      <c r="N13" s="111"/>
    </row>
    <row r="14" spans="1:14" ht="14.25">
      <c r="A14" s="130" t="s">
        <v>22</v>
      </c>
      <c r="B14" s="120"/>
      <c r="C14" s="115"/>
      <c r="D14" s="116"/>
      <c r="E14" s="116"/>
      <c r="F14" s="116"/>
      <c r="G14" s="117"/>
      <c r="H14" s="119"/>
      <c r="I14" s="119"/>
      <c r="J14" s="119"/>
      <c r="K14" s="119"/>
      <c r="L14" s="304"/>
      <c r="M14" s="119"/>
      <c r="N14" s="111"/>
    </row>
    <row r="15" spans="1:14" ht="29.25" customHeight="1">
      <c r="A15" s="113" t="s">
        <v>23</v>
      </c>
      <c r="B15" s="120" t="s">
        <v>24</v>
      </c>
      <c r="C15" s="115">
        <v>1</v>
      </c>
      <c r="D15" s="116"/>
      <c r="E15" s="116"/>
      <c r="F15" s="116"/>
      <c r="G15" s="117"/>
      <c r="H15" s="119"/>
      <c r="I15" s="119"/>
      <c r="J15" s="119"/>
      <c r="K15" s="119"/>
      <c r="L15" s="304"/>
      <c r="M15" s="119"/>
      <c r="N15" s="111"/>
    </row>
    <row r="16" spans="1:14" ht="14.25">
      <c r="A16" s="130" t="s">
        <v>25</v>
      </c>
      <c r="B16" s="120"/>
      <c r="C16" s="115"/>
      <c r="D16" s="131"/>
      <c r="E16" s="131"/>
      <c r="F16" s="131"/>
      <c r="G16" s="132"/>
      <c r="H16" s="119"/>
      <c r="I16" s="119"/>
      <c r="J16" s="119"/>
      <c r="K16" s="119"/>
      <c r="L16" s="304"/>
      <c r="M16" s="119"/>
      <c r="N16" s="111"/>
    </row>
    <row r="17" spans="1:16" ht="14.25">
      <c r="A17" s="133" t="s">
        <v>26</v>
      </c>
      <c r="B17" s="134"/>
      <c r="C17" s="115"/>
      <c r="D17" s="131"/>
      <c r="E17" s="131"/>
      <c r="F17" s="131"/>
      <c r="G17" s="135"/>
      <c r="H17" s="119"/>
      <c r="I17" s="119"/>
      <c r="J17" s="119"/>
      <c r="K17" s="119"/>
      <c r="L17" s="304"/>
      <c r="M17" s="119"/>
      <c r="N17" s="111"/>
    </row>
    <row r="18" spans="1:16" ht="31.5">
      <c r="A18" s="136" t="s">
        <v>27</v>
      </c>
      <c r="B18" s="114" t="s">
        <v>21</v>
      </c>
      <c r="C18" s="115">
        <v>1</v>
      </c>
      <c r="D18" s="131"/>
      <c r="E18" s="131"/>
      <c r="F18" s="131"/>
      <c r="G18" s="117">
        <v>784.19</v>
      </c>
      <c r="H18" s="173">
        <v>1215.0999999999999</v>
      </c>
      <c r="I18" s="173">
        <v>1419.8</v>
      </c>
      <c r="J18" s="290">
        <v>1674.9</v>
      </c>
      <c r="K18" s="290">
        <v>1920</v>
      </c>
      <c r="L18" s="306">
        <v>2120</v>
      </c>
      <c r="M18" s="290">
        <v>2337</v>
      </c>
      <c r="N18" s="290">
        <v>2582</v>
      </c>
      <c r="O18" s="137"/>
      <c r="P18" s="137"/>
    </row>
    <row r="19" spans="1:16" ht="12.75">
      <c r="A19" s="113" t="s">
        <v>14</v>
      </c>
      <c r="B19" s="120" t="s">
        <v>15</v>
      </c>
      <c r="C19" s="115"/>
      <c r="D19" s="131"/>
      <c r="E19" s="131"/>
      <c r="F19" s="131"/>
      <c r="G19" s="117"/>
      <c r="H19" s="291">
        <v>124.8</v>
      </c>
      <c r="I19" s="291">
        <f>I18/H18/I20*10000</f>
        <v>109.92130770897687</v>
      </c>
      <c r="J19" s="292">
        <f>J18/I18/J20*10000</f>
        <v>111.92345288496415</v>
      </c>
      <c r="K19" s="292">
        <f>K18/J18/K20*10000</f>
        <v>109.69732964133257</v>
      </c>
      <c r="L19" s="307">
        <f t="shared" ref="L19" si="1">L18/K18/L20*10000</f>
        <v>105.86449344838607</v>
      </c>
      <c r="M19" s="292">
        <f>M18/L18/M20*10000</f>
        <v>105.89418737425915</v>
      </c>
      <c r="N19" s="292">
        <f>N18/M18/N20*10000</f>
        <v>106.13210940239237</v>
      </c>
      <c r="O19" s="167"/>
    </row>
    <row r="20" spans="1:16" ht="12.75">
      <c r="A20" s="113" t="s">
        <v>16</v>
      </c>
      <c r="B20" s="120" t="s">
        <v>15</v>
      </c>
      <c r="C20" s="115"/>
      <c r="D20" s="131"/>
      <c r="E20" s="131"/>
      <c r="F20" s="131"/>
      <c r="G20" s="117"/>
      <c r="H20" s="293">
        <v>97.5</v>
      </c>
      <c r="I20" s="293">
        <v>106.3</v>
      </c>
      <c r="J20" s="294">
        <v>105.4</v>
      </c>
      <c r="K20" s="294">
        <v>104.5</v>
      </c>
      <c r="L20" s="308">
        <v>104.3</v>
      </c>
      <c r="M20" s="316">
        <v>104.1</v>
      </c>
      <c r="N20" s="316">
        <v>104.1</v>
      </c>
      <c r="P20" s="137"/>
    </row>
    <row r="21" spans="1:16" ht="14.25">
      <c r="A21" s="130" t="s">
        <v>28</v>
      </c>
      <c r="B21" s="134"/>
      <c r="C21" s="115"/>
      <c r="D21" s="131"/>
      <c r="E21" s="131"/>
      <c r="F21" s="131"/>
      <c r="G21" s="117"/>
      <c r="H21" s="173"/>
      <c r="I21" s="173"/>
      <c r="J21" s="290"/>
      <c r="K21" s="290"/>
      <c r="L21" s="306"/>
      <c r="M21" s="290"/>
      <c r="N21" s="111"/>
    </row>
    <row r="22" spans="1:16" ht="21">
      <c r="A22" s="113" t="s">
        <v>29</v>
      </c>
      <c r="B22" s="120" t="s">
        <v>30</v>
      </c>
      <c r="C22" s="118">
        <f>C26+C27</f>
        <v>2241.13</v>
      </c>
      <c r="D22" s="118">
        <f>D26+D27</f>
        <v>3044.4970000000003</v>
      </c>
      <c r="E22" s="118">
        <f>E26+E27</f>
        <v>3454.9</v>
      </c>
      <c r="F22" s="119">
        <v>3885.7</v>
      </c>
      <c r="G22" s="119">
        <v>4407</v>
      </c>
      <c r="H22" s="173">
        <f t="shared" ref="H22:N22" si="2">H26+H27</f>
        <v>3044.4970000000003</v>
      </c>
      <c r="I22" s="173">
        <f t="shared" si="2"/>
        <v>3454.9</v>
      </c>
      <c r="J22" s="173">
        <f t="shared" si="2"/>
        <v>4443.8999999999996</v>
      </c>
      <c r="K22" s="173">
        <f t="shared" si="2"/>
        <v>5131.1000000000004</v>
      </c>
      <c r="L22" s="173">
        <f t="shared" si="2"/>
        <v>5746.8320000000003</v>
      </c>
      <c r="M22" s="173">
        <f t="shared" si="2"/>
        <v>6436.4518400000015</v>
      </c>
      <c r="N22" s="173">
        <f t="shared" si="2"/>
        <v>7337.5550976000013</v>
      </c>
      <c r="O22" s="142"/>
    </row>
    <row r="23" spans="1:16" ht="12.75">
      <c r="A23" s="113" t="s">
        <v>14</v>
      </c>
      <c r="B23" s="120" t="s">
        <v>15</v>
      </c>
      <c r="C23" s="121"/>
      <c r="D23" s="121">
        <f>D22/C22*100/D24*100</f>
        <v>128.39935248368371</v>
      </c>
      <c r="E23" s="139">
        <f>E22/D22/E24*10000</f>
        <v>105.562937493986</v>
      </c>
      <c r="F23" s="138">
        <f>F22/E22/F24*10000</f>
        <v>106.00305992207818</v>
      </c>
      <c r="G23" s="139">
        <f>G22/F22/G24*10000</f>
        <v>106.09528357954846</v>
      </c>
      <c r="H23" s="295">
        <v>128.4</v>
      </c>
      <c r="I23" s="291">
        <f t="shared" ref="I23:N23" si="3">I22/H22/I24*10000</f>
        <v>105.562937493986</v>
      </c>
      <c r="J23" s="291">
        <f t="shared" si="3"/>
        <v>121.23092312523438</v>
      </c>
      <c r="K23" s="291">
        <f t="shared" si="3"/>
        <v>108.01112659219372</v>
      </c>
      <c r="L23" s="309">
        <f t="shared" si="3"/>
        <v>104.77081384471468</v>
      </c>
      <c r="M23" s="295">
        <f t="shared" si="3"/>
        <v>106.56517602283542</v>
      </c>
      <c r="N23" s="295">
        <f t="shared" si="3"/>
        <v>106.64172123479885</v>
      </c>
      <c r="O23" s="142"/>
    </row>
    <row r="24" spans="1:16" ht="16.5" customHeight="1">
      <c r="A24" s="113" t="s">
        <v>16</v>
      </c>
      <c r="B24" s="120" t="s">
        <v>15</v>
      </c>
      <c r="C24" s="121">
        <v>109.9</v>
      </c>
      <c r="D24" s="121">
        <v>105.8</v>
      </c>
      <c r="E24" s="121">
        <v>107.5</v>
      </c>
      <c r="F24" s="121">
        <v>106.1</v>
      </c>
      <c r="G24" s="121">
        <v>106.9</v>
      </c>
      <c r="H24" s="295">
        <v>105.8</v>
      </c>
      <c r="I24" s="295">
        <v>107.5</v>
      </c>
      <c r="J24" s="295">
        <v>106.1</v>
      </c>
      <c r="K24" s="295">
        <v>106.9</v>
      </c>
      <c r="L24" s="310">
        <v>106.9</v>
      </c>
      <c r="M24" s="295">
        <v>105.1</v>
      </c>
      <c r="N24" s="295">
        <v>106.9</v>
      </c>
      <c r="O24" s="142"/>
    </row>
    <row r="25" spans="1:16" ht="12.75">
      <c r="A25" s="136" t="s">
        <v>31</v>
      </c>
      <c r="B25" s="120"/>
      <c r="C25" s="141"/>
      <c r="D25" s="141"/>
      <c r="E25" s="141"/>
      <c r="F25" s="141"/>
      <c r="G25" s="141"/>
      <c r="H25" s="296"/>
      <c r="I25" s="296"/>
      <c r="J25" s="296"/>
      <c r="K25" s="296"/>
      <c r="L25" s="311"/>
      <c r="M25" s="296"/>
      <c r="N25" s="111"/>
      <c r="O25" s="142"/>
    </row>
    <row r="26" spans="1:16" ht="12.75">
      <c r="A26" s="143" t="s">
        <v>32</v>
      </c>
      <c r="B26" s="120" t="s">
        <v>30</v>
      </c>
      <c r="C26" s="144">
        <v>1347.52</v>
      </c>
      <c r="D26" s="144">
        <v>1943.3820000000001</v>
      </c>
      <c r="E26" s="144">
        <v>2225.3000000000002</v>
      </c>
      <c r="F26" s="145">
        <v>2502</v>
      </c>
      <c r="G26" s="145">
        <v>2724</v>
      </c>
      <c r="H26" s="297">
        <v>1943.3820000000001</v>
      </c>
      <c r="I26" s="297">
        <v>2225.3000000000002</v>
      </c>
      <c r="J26" s="297">
        <v>3058.7</v>
      </c>
      <c r="K26" s="297">
        <v>3454.8</v>
      </c>
      <c r="L26" s="312">
        <f>K26*1.12</f>
        <v>3869.3760000000007</v>
      </c>
      <c r="M26" s="173">
        <f>L26*1.12</f>
        <v>4333.7011200000015</v>
      </c>
      <c r="N26" s="324">
        <f>M26*1.14</f>
        <v>4940.4192768000012</v>
      </c>
      <c r="O26" s="142"/>
    </row>
    <row r="27" spans="1:16" ht="12.75">
      <c r="A27" s="143" t="s">
        <v>33</v>
      </c>
      <c r="B27" s="120" t="s">
        <v>30</v>
      </c>
      <c r="C27" s="118">
        <v>893.61</v>
      </c>
      <c r="D27" s="118">
        <v>1101.115</v>
      </c>
      <c r="E27" s="118">
        <v>1229.5999999999999</v>
      </c>
      <c r="F27" s="119">
        <v>1383</v>
      </c>
      <c r="G27" s="119">
        <v>1683</v>
      </c>
      <c r="H27" s="173">
        <v>1101.115</v>
      </c>
      <c r="I27" s="173">
        <v>1229.5999999999999</v>
      </c>
      <c r="J27" s="173">
        <v>1385.2</v>
      </c>
      <c r="K27" s="173">
        <v>1676.3</v>
      </c>
      <c r="L27" s="312">
        <f>K27*1.12</f>
        <v>1877.4560000000001</v>
      </c>
      <c r="M27" s="173">
        <f>L27*1.12</f>
        <v>2102.7507200000005</v>
      </c>
      <c r="N27" s="324">
        <f>M27*1.14</f>
        <v>2397.1358208000001</v>
      </c>
    </row>
    <row r="28" spans="1:16" ht="14.25">
      <c r="A28" s="130" t="s">
        <v>34</v>
      </c>
      <c r="B28" s="134"/>
      <c r="C28" s="115"/>
      <c r="D28" s="131"/>
      <c r="E28" s="131"/>
      <c r="F28" s="131"/>
      <c r="G28" s="117"/>
      <c r="H28" s="173"/>
      <c r="I28" s="173"/>
      <c r="J28" s="173"/>
      <c r="K28" s="173"/>
      <c r="L28" s="313"/>
      <c r="M28" s="173"/>
      <c r="N28" s="111"/>
    </row>
    <row r="29" spans="1:16" ht="14.25">
      <c r="A29" s="130" t="s">
        <v>35</v>
      </c>
      <c r="B29" s="134"/>
      <c r="C29" s="115"/>
      <c r="D29" s="131"/>
      <c r="E29" s="131"/>
      <c r="F29" s="131"/>
      <c r="G29" s="117"/>
      <c r="H29" s="173"/>
      <c r="I29" s="173"/>
      <c r="J29" s="173"/>
      <c r="K29" s="173"/>
      <c r="L29" s="313"/>
      <c r="M29" s="173"/>
      <c r="N29" s="111"/>
    </row>
    <row r="30" spans="1:16" ht="42">
      <c r="A30" s="113" t="s">
        <v>36</v>
      </c>
      <c r="B30" s="114" t="s">
        <v>37</v>
      </c>
      <c r="C30" s="115">
        <v>1</v>
      </c>
      <c r="D30" s="131"/>
      <c r="E30" s="131"/>
      <c r="F30" s="131"/>
      <c r="G30" s="146">
        <v>250.8</v>
      </c>
      <c r="H30" s="173">
        <v>360.4</v>
      </c>
      <c r="I30" s="173">
        <v>402.7</v>
      </c>
      <c r="J30" s="173">
        <v>402.7</v>
      </c>
      <c r="K30" s="173">
        <v>402.7</v>
      </c>
      <c r="L30" s="313">
        <v>402.7</v>
      </c>
      <c r="M30" s="173">
        <v>402.7</v>
      </c>
      <c r="N30" s="173">
        <v>402.7</v>
      </c>
    </row>
    <row r="31" spans="1:16" ht="14.25">
      <c r="A31" s="130" t="s">
        <v>38</v>
      </c>
      <c r="B31" s="120"/>
      <c r="C31" s="115"/>
      <c r="D31" s="131"/>
      <c r="E31" s="131"/>
      <c r="F31" s="131"/>
      <c r="G31" s="117"/>
      <c r="H31" s="173"/>
      <c r="I31" s="173"/>
      <c r="J31" s="173"/>
      <c r="K31" s="173"/>
      <c r="L31" s="313"/>
      <c r="M31" s="173"/>
      <c r="N31" s="111"/>
    </row>
    <row r="32" spans="1:16" ht="12.75">
      <c r="A32" s="148" t="s">
        <v>39</v>
      </c>
      <c r="B32" s="149"/>
      <c r="C32" s="115"/>
      <c r="D32" s="131"/>
      <c r="E32" s="131"/>
      <c r="F32" s="131"/>
      <c r="G32" s="117" t="s">
        <v>40</v>
      </c>
      <c r="H32" s="173" t="s">
        <v>40</v>
      </c>
      <c r="I32" s="173" t="s">
        <v>40</v>
      </c>
      <c r="J32" s="173"/>
      <c r="K32" s="173" t="s">
        <v>40</v>
      </c>
      <c r="L32" s="313" t="s">
        <v>40</v>
      </c>
      <c r="M32" s="313" t="s">
        <v>40</v>
      </c>
      <c r="N32" s="313" t="s">
        <v>40</v>
      </c>
    </row>
    <row r="33" spans="1:14" ht="32.25">
      <c r="A33" s="148" t="s">
        <v>41</v>
      </c>
      <c r="B33" s="149" t="s">
        <v>0</v>
      </c>
      <c r="C33" s="115">
        <v>1</v>
      </c>
      <c r="D33" s="131"/>
      <c r="E33" s="131"/>
      <c r="F33" s="131"/>
      <c r="G33" s="117" t="s">
        <v>40</v>
      </c>
      <c r="H33" s="173"/>
      <c r="I33" s="173" t="s">
        <v>40</v>
      </c>
      <c r="J33" s="173"/>
      <c r="K33" s="173" t="s">
        <v>40</v>
      </c>
      <c r="L33" s="313" t="s">
        <v>40</v>
      </c>
      <c r="M33" s="313" t="s">
        <v>40</v>
      </c>
      <c r="N33" s="313" t="s">
        <v>40</v>
      </c>
    </row>
    <row r="34" spans="1:14" ht="21.75">
      <c r="A34" s="148" t="s">
        <v>42</v>
      </c>
      <c r="B34" s="149" t="s">
        <v>43</v>
      </c>
      <c r="C34" s="115">
        <v>1</v>
      </c>
      <c r="D34" s="131"/>
      <c r="E34" s="131"/>
      <c r="F34" s="131"/>
      <c r="G34" s="117" t="s">
        <v>40</v>
      </c>
      <c r="H34" s="173"/>
      <c r="I34" s="173" t="s">
        <v>40</v>
      </c>
      <c r="J34" s="173"/>
      <c r="K34" s="173" t="s">
        <v>40</v>
      </c>
      <c r="L34" s="313" t="s">
        <v>40</v>
      </c>
      <c r="M34" s="313" t="s">
        <v>40</v>
      </c>
      <c r="N34" s="313" t="s">
        <v>40</v>
      </c>
    </row>
    <row r="35" spans="1:14" ht="12.75">
      <c r="A35" s="148" t="s">
        <v>44</v>
      </c>
      <c r="B35" s="149" t="s">
        <v>0</v>
      </c>
      <c r="C35" s="115">
        <v>1</v>
      </c>
      <c r="D35" s="131"/>
      <c r="E35" s="131"/>
      <c r="F35" s="131"/>
      <c r="G35" s="117">
        <f>11/63080*10000</f>
        <v>1.7438173747622068</v>
      </c>
      <c r="H35" s="173">
        <f t="shared" ref="H35" si="4">11/H6*10</f>
        <v>1.6364177328176139</v>
      </c>
      <c r="I35" s="173">
        <f>11/I6*10</f>
        <v>1.607717041800643</v>
      </c>
      <c r="J35" s="173">
        <f>11/J6*10</f>
        <v>1.5777395295467587</v>
      </c>
      <c r="K35" s="173">
        <f>9/K6*10</f>
        <v>1.2654668166479188</v>
      </c>
      <c r="L35" s="173">
        <f t="shared" ref="L35:N35" si="5">9/L6*10</f>
        <v>1.2410369553226694</v>
      </c>
      <c r="M35" s="173">
        <f t="shared" si="5"/>
        <v>1.2175324675324672</v>
      </c>
      <c r="N35" s="173">
        <f t="shared" si="5"/>
        <v>1.19490175252257</v>
      </c>
    </row>
    <row r="36" spans="1:14" ht="14.25">
      <c r="A36" s="130" t="s">
        <v>45</v>
      </c>
      <c r="B36" s="150"/>
      <c r="C36" s="115"/>
      <c r="D36" s="131"/>
      <c r="E36" s="131"/>
      <c r="F36" s="131"/>
      <c r="G36" s="117"/>
      <c r="H36" s="173"/>
      <c r="I36" s="173"/>
      <c r="J36" s="173"/>
      <c r="K36" s="173"/>
      <c r="L36" s="313"/>
      <c r="M36" s="173"/>
      <c r="N36" s="111"/>
    </row>
    <row r="37" spans="1:14" ht="21">
      <c r="A37" s="113" t="s">
        <v>46</v>
      </c>
      <c r="B37" s="120" t="s">
        <v>21</v>
      </c>
      <c r="C37" s="115">
        <v>1</v>
      </c>
      <c r="D37" s="131"/>
      <c r="E37" s="131"/>
      <c r="F37" s="131"/>
      <c r="G37" s="117">
        <v>1412.5</v>
      </c>
      <c r="H37" s="173">
        <v>2010.7</v>
      </c>
      <c r="I37" s="173">
        <f>2227316/1000</f>
        <v>2227.3159999999998</v>
      </c>
      <c r="J37" s="173">
        <v>2489</v>
      </c>
      <c r="K37" s="173">
        <v>2741</v>
      </c>
      <c r="L37" s="313">
        <f>K37*1.1</f>
        <v>3015.1000000000004</v>
      </c>
      <c r="M37" s="313">
        <f t="shared" ref="M37:N37" si="6">L37*1.1</f>
        <v>3316.6100000000006</v>
      </c>
      <c r="N37" s="313">
        <f t="shared" si="6"/>
        <v>3648.2710000000011</v>
      </c>
    </row>
    <row r="38" spans="1:14" ht="12.75">
      <c r="A38" s="113" t="s">
        <v>14</v>
      </c>
      <c r="B38" s="120" t="s">
        <v>15</v>
      </c>
      <c r="C38" s="115"/>
      <c r="D38" s="131"/>
      <c r="E38" s="131"/>
      <c r="F38" s="131"/>
      <c r="G38" s="117"/>
      <c r="H38" s="295">
        <v>108.1</v>
      </c>
      <c r="I38" s="295">
        <f t="shared" ref="I38" si="7">I37/H37*100/I39*100</f>
        <v>100.9782712624197</v>
      </c>
      <c r="J38" s="295">
        <f>J37/I37/J39*10000</f>
        <v>107.55423415559461</v>
      </c>
      <c r="K38" s="295">
        <f t="shared" ref="K38:N38" si="8">K37/J37/K39*10000</f>
        <v>105.6857466518709</v>
      </c>
      <c r="L38" s="310">
        <f t="shared" si="8"/>
        <v>104.26540284360189</v>
      </c>
      <c r="M38" s="295">
        <f t="shared" si="8"/>
        <v>104.46343779677115</v>
      </c>
      <c r="N38" s="295">
        <f t="shared" si="8"/>
        <v>104.46343779677115</v>
      </c>
    </row>
    <row r="39" spans="1:14" ht="12.75">
      <c r="A39" s="113" t="s">
        <v>16</v>
      </c>
      <c r="B39" s="120" t="s">
        <v>15</v>
      </c>
      <c r="C39" s="115"/>
      <c r="D39" s="131"/>
      <c r="E39" s="131"/>
      <c r="F39" s="131"/>
      <c r="G39" s="117"/>
      <c r="H39" s="295">
        <v>109.9</v>
      </c>
      <c r="I39" s="295">
        <v>109.7</v>
      </c>
      <c r="J39" s="295">
        <v>103.9</v>
      </c>
      <c r="K39" s="295">
        <v>104.2</v>
      </c>
      <c r="L39" s="310">
        <v>105.5</v>
      </c>
      <c r="M39" s="295">
        <v>105.3</v>
      </c>
      <c r="N39" s="295">
        <v>105.3</v>
      </c>
    </row>
    <row r="40" spans="1:14" ht="14.25">
      <c r="A40" s="124" t="s">
        <v>47</v>
      </c>
      <c r="B40" s="134"/>
      <c r="C40" s="115"/>
      <c r="D40" s="131"/>
      <c r="E40" s="131"/>
      <c r="F40" s="131"/>
      <c r="G40" s="117"/>
      <c r="H40" s="173"/>
      <c r="I40" s="173"/>
      <c r="J40" s="173"/>
      <c r="K40" s="173"/>
      <c r="L40" s="313"/>
      <c r="M40" s="173"/>
      <c r="N40" s="111"/>
    </row>
    <row r="41" spans="1:14" ht="12.75">
      <c r="A41" s="113" t="s">
        <v>48</v>
      </c>
      <c r="B41" s="120" t="s">
        <v>49</v>
      </c>
      <c r="C41" s="115">
        <v>1</v>
      </c>
      <c r="D41" s="131"/>
      <c r="E41" s="131"/>
      <c r="F41" s="131"/>
      <c r="G41" s="117">
        <v>5372</v>
      </c>
      <c r="H41" s="173">
        <v>3131.9</v>
      </c>
      <c r="I41" s="173">
        <v>3759</v>
      </c>
      <c r="J41" s="173">
        <v>4258.7</v>
      </c>
      <c r="K41" s="173">
        <v>4629.7</v>
      </c>
      <c r="L41" s="313">
        <v>5120</v>
      </c>
      <c r="M41" s="173">
        <v>5665</v>
      </c>
      <c r="N41" s="173">
        <v>6333</v>
      </c>
    </row>
    <row r="42" spans="1:14" ht="12.75">
      <c r="A42" s="113" t="s">
        <v>14</v>
      </c>
      <c r="B42" s="120" t="s">
        <v>15</v>
      </c>
      <c r="C42" s="115"/>
      <c r="D42" s="131"/>
      <c r="E42" s="131"/>
      <c r="F42" s="131"/>
      <c r="G42" s="117"/>
      <c r="H42" s="295">
        <v>107</v>
      </c>
      <c r="I42" s="295">
        <f t="shared" ref="I42" si="9">I41/H41*100/I43*100</f>
        <v>102.32138895120086</v>
      </c>
      <c r="J42" s="295">
        <f>J41/I41/J43*10000</f>
        <v>106.07998979727057</v>
      </c>
      <c r="K42" s="295">
        <f t="shared" ref="K42:N42" si="10">K41/J41/K43*10000</f>
        <v>102.46143133907822</v>
      </c>
      <c r="L42" s="310">
        <f t="shared" si="10"/>
        <v>105.22390012098079</v>
      </c>
      <c r="M42" s="295">
        <f t="shared" si="10"/>
        <v>105.27548168411037</v>
      </c>
      <c r="N42" s="295">
        <f t="shared" si="10"/>
        <v>105.36447072779347</v>
      </c>
    </row>
    <row r="43" spans="1:14" ht="12.75">
      <c r="A43" s="113" t="s">
        <v>16</v>
      </c>
      <c r="B43" s="120" t="s">
        <v>15</v>
      </c>
      <c r="C43" s="115"/>
      <c r="D43" s="131"/>
      <c r="E43" s="131"/>
      <c r="F43" s="131"/>
      <c r="G43" s="117"/>
      <c r="H43" s="295">
        <v>105.4</v>
      </c>
      <c r="I43" s="295">
        <v>117.3</v>
      </c>
      <c r="J43" s="295">
        <v>106.8</v>
      </c>
      <c r="K43" s="295">
        <v>106.1</v>
      </c>
      <c r="L43" s="310">
        <v>105.1</v>
      </c>
      <c r="M43" s="310">
        <v>105.1</v>
      </c>
      <c r="N43" s="310">
        <v>106.1</v>
      </c>
    </row>
    <row r="44" spans="1:14" ht="28.5">
      <c r="A44" s="124" t="s">
        <v>50</v>
      </c>
      <c r="B44" s="134"/>
      <c r="C44" s="115"/>
      <c r="D44" s="131"/>
      <c r="E44" s="131"/>
      <c r="F44" s="131"/>
      <c r="G44" s="117"/>
      <c r="H44" s="173"/>
      <c r="I44" s="173"/>
      <c r="J44" s="173"/>
      <c r="K44" s="173"/>
      <c r="L44" s="313"/>
      <c r="M44" s="173"/>
      <c r="N44" s="111"/>
    </row>
    <row r="45" spans="1:14" ht="12.75">
      <c r="A45" s="151" t="s">
        <v>51</v>
      </c>
      <c r="B45" s="120" t="s">
        <v>52</v>
      </c>
      <c r="C45" s="115">
        <v>1</v>
      </c>
      <c r="D45" s="131"/>
      <c r="E45" s="131"/>
      <c r="F45" s="131"/>
      <c r="G45" s="117" t="s">
        <v>40</v>
      </c>
      <c r="H45" s="173" t="s">
        <v>40</v>
      </c>
      <c r="I45" s="173" t="s">
        <v>40</v>
      </c>
      <c r="J45" s="173" t="s">
        <v>40</v>
      </c>
      <c r="K45" s="173"/>
      <c r="L45" s="313" t="s">
        <v>40</v>
      </c>
      <c r="M45" s="173" t="s">
        <v>40</v>
      </c>
      <c r="N45" s="111"/>
    </row>
    <row r="46" spans="1:14" ht="12.75">
      <c r="A46" s="151" t="s">
        <v>53</v>
      </c>
      <c r="B46" s="120" t="s">
        <v>52</v>
      </c>
      <c r="C46" s="115">
        <v>1</v>
      </c>
      <c r="D46" s="131"/>
      <c r="E46" s="131"/>
      <c r="F46" s="131"/>
      <c r="G46" s="117" t="s">
        <v>40</v>
      </c>
      <c r="H46" s="173" t="s">
        <v>40</v>
      </c>
      <c r="I46" s="173" t="s">
        <v>40</v>
      </c>
      <c r="J46" s="173" t="s">
        <v>40</v>
      </c>
      <c r="K46" s="173" t="s">
        <v>40</v>
      </c>
      <c r="L46" s="313" t="s">
        <v>40</v>
      </c>
      <c r="M46" s="173" t="s">
        <v>40</v>
      </c>
      <c r="N46" s="111"/>
    </row>
    <row r="47" spans="1:14" ht="28.5">
      <c r="A47" s="152" t="s">
        <v>54</v>
      </c>
      <c r="B47" s="153"/>
      <c r="C47" s="154"/>
      <c r="D47" s="155"/>
      <c r="E47" s="155"/>
      <c r="F47" s="155"/>
      <c r="G47" s="117"/>
      <c r="H47" s="173"/>
      <c r="I47" s="173"/>
      <c r="J47" s="173"/>
      <c r="K47" s="173"/>
      <c r="L47" s="313"/>
      <c r="M47" s="173"/>
      <c r="N47" s="111"/>
    </row>
    <row r="48" spans="1:14" ht="12.75">
      <c r="A48" s="156" t="s">
        <v>55</v>
      </c>
      <c r="B48" s="157" t="s">
        <v>0</v>
      </c>
      <c r="C48" s="154"/>
      <c r="D48" s="155"/>
      <c r="E48" s="155"/>
      <c r="F48" s="155"/>
      <c r="G48" s="117" t="s">
        <v>40</v>
      </c>
      <c r="H48" s="173">
        <v>3</v>
      </c>
      <c r="I48" s="173" t="s">
        <v>40</v>
      </c>
      <c r="J48" s="173" t="s">
        <v>40</v>
      </c>
      <c r="K48" s="173" t="s">
        <v>40</v>
      </c>
      <c r="L48" s="313" t="s">
        <v>40</v>
      </c>
      <c r="M48" s="313" t="s">
        <v>40</v>
      </c>
      <c r="N48" s="313" t="s">
        <v>40</v>
      </c>
    </row>
    <row r="49" spans="1:14" ht="21">
      <c r="A49" s="158" t="s">
        <v>56</v>
      </c>
      <c r="B49" s="157"/>
      <c r="C49" s="154"/>
      <c r="D49" s="155"/>
      <c r="E49" s="155"/>
      <c r="F49" s="155"/>
      <c r="G49" s="117" t="s">
        <v>40</v>
      </c>
      <c r="H49" s="298"/>
      <c r="I49" s="173" t="s">
        <v>40</v>
      </c>
      <c r="J49" s="173"/>
      <c r="K49" s="173" t="s">
        <v>40</v>
      </c>
      <c r="L49" s="313"/>
      <c r="M49" s="313"/>
      <c r="N49" s="313"/>
    </row>
    <row r="50" spans="1:14" ht="12.75">
      <c r="A50" s="159" t="s">
        <v>57</v>
      </c>
      <c r="B50" s="157" t="s">
        <v>0</v>
      </c>
      <c r="C50" s="154"/>
      <c r="D50" s="155"/>
      <c r="E50" s="155"/>
      <c r="F50" s="155"/>
      <c r="G50" s="117" t="s">
        <v>40</v>
      </c>
      <c r="H50" s="173">
        <v>1</v>
      </c>
      <c r="I50" s="173" t="s">
        <v>40</v>
      </c>
      <c r="J50" s="173"/>
      <c r="K50" s="173" t="s">
        <v>40</v>
      </c>
      <c r="L50" s="313"/>
      <c r="M50" s="313"/>
      <c r="N50" s="313"/>
    </row>
    <row r="51" spans="1:14" ht="12.75">
      <c r="A51" s="159" t="s">
        <v>58</v>
      </c>
      <c r="B51" s="157" t="s">
        <v>0</v>
      </c>
      <c r="C51" s="154"/>
      <c r="D51" s="155"/>
      <c r="E51" s="155"/>
      <c r="F51" s="155"/>
      <c r="G51" s="117" t="s">
        <v>40</v>
      </c>
      <c r="H51" s="173"/>
      <c r="I51" s="173" t="s">
        <v>40</v>
      </c>
      <c r="J51" s="173"/>
      <c r="K51" s="173" t="s">
        <v>40</v>
      </c>
      <c r="L51" s="313" t="s">
        <v>40</v>
      </c>
      <c r="M51" s="313" t="s">
        <v>40</v>
      </c>
      <c r="N51" s="313" t="s">
        <v>40</v>
      </c>
    </row>
    <row r="52" spans="1:14" ht="21">
      <c r="A52" s="159" t="s">
        <v>59</v>
      </c>
      <c r="B52" s="157" t="s">
        <v>0</v>
      </c>
      <c r="C52" s="154"/>
      <c r="D52" s="155"/>
      <c r="E52" s="155"/>
      <c r="F52" s="155"/>
      <c r="G52" s="117" t="s">
        <v>40</v>
      </c>
      <c r="H52" s="173" t="s">
        <v>40</v>
      </c>
      <c r="I52" s="173" t="s">
        <v>40</v>
      </c>
      <c r="J52" s="173" t="s">
        <v>40</v>
      </c>
      <c r="K52" s="173" t="s">
        <v>40</v>
      </c>
      <c r="L52" s="313" t="s">
        <v>40</v>
      </c>
      <c r="M52" s="313" t="s">
        <v>40</v>
      </c>
      <c r="N52" s="313" t="s">
        <v>40</v>
      </c>
    </row>
    <row r="53" spans="1:14" ht="12.75">
      <c r="A53" s="159" t="s">
        <v>60</v>
      </c>
      <c r="B53" s="157" t="s">
        <v>0</v>
      </c>
      <c r="C53" s="154"/>
      <c r="D53" s="155"/>
      <c r="E53" s="155"/>
      <c r="F53" s="155"/>
      <c r="G53" s="117" t="s">
        <v>40</v>
      </c>
      <c r="H53" s="173" t="s">
        <v>40</v>
      </c>
      <c r="I53" s="173" t="s">
        <v>40</v>
      </c>
      <c r="J53" s="173" t="s">
        <v>40</v>
      </c>
      <c r="K53" s="173" t="s">
        <v>40</v>
      </c>
      <c r="L53" s="313" t="s">
        <v>40</v>
      </c>
      <c r="M53" s="313" t="s">
        <v>40</v>
      </c>
      <c r="N53" s="313" t="s">
        <v>40</v>
      </c>
    </row>
    <row r="54" spans="1:14" ht="31.5">
      <c r="A54" s="159" t="s">
        <v>61</v>
      </c>
      <c r="B54" s="157" t="s">
        <v>0</v>
      </c>
      <c r="C54" s="154"/>
      <c r="D54" s="155"/>
      <c r="E54" s="155"/>
      <c r="F54" s="155"/>
      <c r="G54" s="117" t="s">
        <v>40</v>
      </c>
      <c r="H54" s="173" t="s">
        <v>40</v>
      </c>
      <c r="I54" s="173" t="s">
        <v>40</v>
      </c>
      <c r="J54" s="173" t="s">
        <v>40</v>
      </c>
      <c r="K54" s="173" t="s">
        <v>40</v>
      </c>
      <c r="L54" s="313" t="s">
        <v>40</v>
      </c>
      <c r="M54" s="313" t="s">
        <v>40</v>
      </c>
      <c r="N54" s="313" t="s">
        <v>40</v>
      </c>
    </row>
    <row r="55" spans="1:14" ht="12.75">
      <c r="A55" s="159" t="s">
        <v>62</v>
      </c>
      <c r="B55" s="157" t="s">
        <v>0</v>
      </c>
      <c r="C55" s="154"/>
      <c r="D55" s="155"/>
      <c r="E55" s="155"/>
      <c r="F55" s="155"/>
      <c r="G55" s="117" t="s">
        <v>40</v>
      </c>
      <c r="H55" s="173" t="s">
        <v>40</v>
      </c>
      <c r="I55" s="173" t="s">
        <v>40</v>
      </c>
      <c r="J55" s="173" t="s">
        <v>40</v>
      </c>
      <c r="K55" s="173" t="s">
        <v>40</v>
      </c>
      <c r="L55" s="313" t="s">
        <v>40</v>
      </c>
      <c r="M55" s="313" t="s">
        <v>40</v>
      </c>
      <c r="N55" s="313" t="s">
        <v>40</v>
      </c>
    </row>
    <row r="56" spans="1:14" ht="21">
      <c r="A56" s="159" t="s">
        <v>63</v>
      </c>
      <c r="B56" s="157" t="s">
        <v>0</v>
      </c>
      <c r="C56" s="154"/>
      <c r="D56" s="155"/>
      <c r="E56" s="155"/>
      <c r="F56" s="155"/>
      <c r="G56" s="117" t="s">
        <v>40</v>
      </c>
      <c r="H56" s="173" t="s">
        <v>40</v>
      </c>
      <c r="I56" s="173" t="s">
        <v>40</v>
      </c>
      <c r="J56" s="173" t="s">
        <v>40</v>
      </c>
      <c r="K56" s="173" t="s">
        <v>40</v>
      </c>
      <c r="L56" s="313" t="s">
        <v>40</v>
      </c>
      <c r="M56" s="313" t="s">
        <v>40</v>
      </c>
      <c r="N56" s="313" t="s">
        <v>40</v>
      </c>
    </row>
    <row r="57" spans="1:14" ht="12.75">
      <c r="A57" s="159" t="s">
        <v>64</v>
      </c>
      <c r="B57" s="157" t="s">
        <v>0</v>
      </c>
      <c r="C57" s="154"/>
      <c r="D57" s="155"/>
      <c r="E57" s="155"/>
      <c r="F57" s="155"/>
      <c r="G57" s="117" t="s">
        <v>40</v>
      </c>
      <c r="H57" s="173" t="s">
        <v>40</v>
      </c>
      <c r="I57" s="173" t="s">
        <v>40</v>
      </c>
      <c r="J57" s="173" t="s">
        <v>40</v>
      </c>
      <c r="K57" s="173" t="s">
        <v>40</v>
      </c>
      <c r="L57" s="313" t="s">
        <v>40</v>
      </c>
      <c r="M57" s="313" t="s">
        <v>40</v>
      </c>
      <c r="N57" s="313" t="s">
        <v>40</v>
      </c>
    </row>
    <row r="58" spans="1:14" ht="21">
      <c r="A58" s="156" t="s">
        <v>65</v>
      </c>
      <c r="B58" s="157" t="s">
        <v>0</v>
      </c>
      <c r="C58" s="115">
        <v>1</v>
      </c>
      <c r="D58" s="131"/>
      <c r="E58" s="131"/>
      <c r="F58" s="131"/>
      <c r="G58" s="161">
        <v>361</v>
      </c>
      <c r="H58" s="173">
        <f>H60+H61+H62+H63+H64+H65+H66+H67+H68+H69</f>
        <v>285</v>
      </c>
      <c r="I58" s="173">
        <f>I60+I61+I62+I63+I64+I65+I66+I67+I68+I69</f>
        <v>215</v>
      </c>
      <c r="J58" s="173">
        <f>J60+J61+J62+J63+J64+J65+J66+J67+J68+J69</f>
        <v>216</v>
      </c>
      <c r="K58" s="173">
        <f t="shared" ref="K58:M58" si="11">K60+K61+K62+K63+K64+K65+K66+K67+K68+K69</f>
        <v>229</v>
      </c>
      <c r="L58" s="313">
        <f t="shared" si="11"/>
        <v>232</v>
      </c>
      <c r="M58" s="173">
        <f t="shared" si="11"/>
        <v>235</v>
      </c>
      <c r="N58" s="173">
        <f t="shared" ref="N58" si="12">N60+N61+N62+N63+N64+N65+N66+N67+N68+N69</f>
        <v>235</v>
      </c>
    </row>
    <row r="59" spans="1:14" ht="21">
      <c r="A59" s="158" t="s">
        <v>56</v>
      </c>
      <c r="B59" s="157"/>
      <c r="C59" s="115"/>
      <c r="D59" s="131"/>
      <c r="E59" s="131"/>
      <c r="F59" s="131"/>
      <c r="G59" s="161"/>
      <c r="H59" s="173"/>
      <c r="I59" s="173"/>
      <c r="J59" s="173"/>
      <c r="K59" s="173"/>
      <c r="L59" s="313"/>
      <c r="M59" s="173"/>
      <c r="N59" s="173"/>
    </row>
    <row r="60" spans="1:14" ht="12.75">
      <c r="A60" s="159" t="s">
        <v>57</v>
      </c>
      <c r="B60" s="157" t="s">
        <v>0</v>
      </c>
      <c r="C60" s="115"/>
      <c r="D60" s="131"/>
      <c r="E60" s="131"/>
      <c r="F60" s="131"/>
      <c r="G60" s="161">
        <v>5</v>
      </c>
      <c r="H60" s="173">
        <v>8</v>
      </c>
      <c r="I60" s="173">
        <v>8</v>
      </c>
      <c r="J60" s="173">
        <v>8</v>
      </c>
      <c r="K60" s="173">
        <v>8</v>
      </c>
      <c r="L60" s="313">
        <v>8</v>
      </c>
      <c r="M60" s="173">
        <v>8</v>
      </c>
      <c r="N60" s="173">
        <v>8</v>
      </c>
    </row>
    <row r="61" spans="1:14" ht="12.75">
      <c r="A61" s="159" t="s">
        <v>58</v>
      </c>
      <c r="B61" s="157" t="s">
        <v>0</v>
      </c>
      <c r="C61" s="115"/>
      <c r="D61" s="131"/>
      <c r="E61" s="131"/>
      <c r="F61" s="131"/>
      <c r="G61" s="161"/>
      <c r="H61" s="173">
        <v>3</v>
      </c>
      <c r="I61" s="173">
        <v>3</v>
      </c>
      <c r="J61" s="173">
        <v>3</v>
      </c>
      <c r="K61" s="173">
        <v>3</v>
      </c>
      <c r="L61" s="313">
        <v>3</v>
      </c>
      <c r="M61" s="173">
        <v>3</v>
      </c>
      <c r="N61" s="173">
        <v>3</v>
      </c>
    </row>
    <row r="62" spans="1:14" ht="21">
      <c r="A62" s="159" t="s">
        <v>59</v>
      </c>
      <c r="B62" s="157" t="s">
        <v>0</v>
      </c>
      <c r="C62" s="115">
        <v>1</v>
      </c>
      <c r="D62" s="131"/>
      <c r="E62" s="131"/>
      <c r="F62" s="131"/>
      <c r="G62" s="161">
        <v>5</v>
      </c>
      <c r="H62" s="173">
        <v>5</v>
      </c>
      <c r="I62" s="173">
        <v>4</v>
      </c>
      <c r="J62" s="173">
        <v>5</v>
      </c>
      <c r="K62" s="173">
        <v>5</v>
      </c>
      <c r="L62" s="313">
        <v>5</v>
      </c>
      <c r="M62" s="173">
        <v>5</v>
      </c>
      <c r="N62" s="173">
        <v>5</v>
      </c>
    </row>
    <row r="63" spans="1:14" ht="12.75">
      <c r="A63" s="159" t="s">
        <v>60</v>
      </c>
      <c r="B63" s="125"/>
      <c r="C63" s="115">
        <v>1</v>
      </c>
      <c r="D63" s="131"/>
      <c r="E63" s="131"/>
      <c r="F63" s="131"/>
      <c r="G63" s="161">
        <v>30</v>
      </c>
      <c r="H63" s="173">
        <v>23</v>
      </c>
      <c r="I63" s="173">
        <v>20</v>
      </c>
      <c r="J63" s="173">
        <v>20</v>
      </c>
      <c r="K63" s="173">
        <v>20</v>
      </c>
      <c r="L63" s="313">
        <v>20</v>
      </c>
      <c r="M63" s="173">
        <v>20</v>
      </c>
      <c r="N63" s="173">
        <v>20</v>
      </c>
    </row>
    <row r="64" spans="1:14" ht="12.75">
      <c r="A64" s="159" t="s">
        <v>66</v>
      </c>
      <c r="B64" s="157" t="s">
        <v>0</v>
      </c>
      <c r="C64" s="115"/>
      <c r="D64" s="131"/>
      <c r="E64" s="131"/>
      <c r="F64" s="131"/>
      <c r="G64" s="161"/>
      <c r="H64" s="173">
        <v>54</v>
      </c>
      <c r="I64" s="173">
        <v>52</v>
      </c>
      <c r="J64" s="173">
        <v>52</v>
      </c>
      <c r="K64" s="173">
        <v>52</v>
      </c>
      <c r="L64" s="313">
        <v>52</v>
      </c>
      <c r="M64" s="173">
        <v>52</v>
      </c>
      <c r="N64" s="173">
        <v>52</v>
      </c>
    </row>
    <row r="65" spans="1:14" ht="31.5">
      <c r="A65" s="159" t="s">
        <v>61</v>
      </c>
      <c r="B65" s="157" t="s">
        <v>0</v>
      </c>
      <c r="C65" s="115"/>
      <c r="D65" s="131"/>
      <c r="E65" s="131"/>
      <c r="F65" s="131"/>
      <c r="G65" s="161">
        <v>120</v>
      </c>
      <c r="H65" s="173">
        <v>66</v>
      </c>
      <c r="I65" s="173">
        <v>65</v>
      </c>
      <c r="J65" s="173">
        <v>65</v>
      </c>
      <c r="K65" s="173">
        <v>65</v>
      </c>
      <c r="L65" s="313">
        <v>65</v>
      </c>
      <c r="M65" s="173">
        <v>65</v>
      </c>
      <c r="N65" s="173">
        <v>65</v>
      </c>
    </row>
    <row r="66" spans="1:14" ht="12.75">
      <c r="A66" s="159" t="s">
        <v>62</v>
      </c>
      <c r="B66" s="157" t="s">
        <v>0</v>
      </c>
      <c r="C66" s="115">
        <v>1</v>
      </c>
      <c r="D66" s="131"/>
      <c r="E66" s="131"/>
      <c r="F66" s="131"/>
      <c r="G66" s="161">
        <v>1</v>
      </c>
      <c r="H66" s="173">
        <v>1</v>
      </c>
      <c r="I66" s="173">
        <v>1</v>
      </c>
      <c r="J66" s="173">
        <v>1</v>
      </c>
      <c r="K66" s="173">
        <v>1</v>
      </c>
      <c r="L66" s="313">
        <v>1</v>
      </c>
      <c r="M66" s="173">
        <v>1</v>
      </c>
      <c r="N66" s="173">
        <v>1</v>
      </c>
    </row>
    <row r="67" spans="1:14" ht="21">
      <c r="A67" s="159" t="s">
        <v>63</v>
      </c>
      <c r="B67" s="157" t="s">
        <v>0</v>
      </c>
      <c r="C67" s="115">
        <v>1</v>
      </c>
      <c r="D67" s="131"/>
      <c r="E67" s="131"/>
      <c r="F67" s="131"/>
      <c r="G67" s="161"/>
      <c r="H67" s="173"/>
      <c r="I67" s="173"/>
      <c r="J67" s="173"/>
      <c r="K67" s="173"/>
      <c r="L67" s="313"/>
      <c r="M67" s="173"/>
      <c r="N67" s="173"/>
    </row>
    <row r="68" spans="1:14" ht="12.75">
      <c r="A68" s="159" t="s">
        <v>64</v>
      </c>
      <c r="B68" s="157" t="s">
        <v>0</v>
      </c>
      <c r="C68" s="115">
        <v>1</v>
      </c>
      <c r="D68" s="131"/>
      <c r="E68" s="131"/>
      <c r="F68" s="131"/>
      <c r="G68" s="161"/>
      <c r="H68" s="173"/>
      <c r="I68" s="173"/>
      <c r="J68" s="173"/>
      <c r="K68" s="173"/>
      <c r="L68" s="313"/>
      <c r="M68" s="173"/>
      <c r="N68" s="173"/>
    </row>
    <row r="69" spans="1:14" ht="12.75">
      <c r="A69" s="159" t="s">
        <v>67</v>
      </c>
      <c r="B69" s="157"/>
      <c r="C69" s="115"/>
      <c r="D69" s="131"/>
      <c r="E69" s="131"/>
      <c r="F69" s="131"/>
      <c r="G69" s="161">
        <f>G58-G60-G61-G62-G63-G65-G66</f>
        <v>200</v>
      </c>
      <c r="H69" s="173">
        <v>125</v>
      </c>
      <c r="I69" s="173">
        <v>62</v>
      </c>
      <c r="J69" s="173">
        <v>62</v>
      </c>
      <c r="K69" s="173">
        <v>75</v>
      </c>
      <c r="L69" s="313">
        <v>78</v>
      </c>
      <c r="M69" s="173">
        <v>81</v>
      </c>
      <c r="N69" s="173">
        <v>81</v>
      </c>
    </row>
    <row r="70" spans="1:14" ht="32.25" customHeight="1">
      <c r="A70" s="156" t="s">
        <v>68</v>
      </c>
      <c r="B70" s="157" t="s">
        <v>13</v>
      </c>
      <c r="C70" s="115">
        <v>1</v>
      </c>
      <c r="D70" s="131"/>
      <c r="E70" s="131"/>
      <c r="F70" s="131"/>
      <c r="G70" s="117">
        <v>1291</v>
      </c>
      <c r="H70" s="173">
        <f>1.054+2.419</f>
        <v>3.4729999999999999</v>
      </c>
      <c r="I70" s="173">
        <v>3.488</v>
      </c>
      <c r="J70" s="173">
        <v>3.5</v>
      </c>
      <c r="K70" s="173">
        <v>3.5</v>
      </c>
      <c r="L70" s="313">
        <v>3.5</v>
      </c>
      <c r="M70" s="173">
        <v>3.5</v>
      </c>
      <c r="N70" s="173">
        <v>3.5</v>
      </c>
    </row>
    <row r="71" spans="1:14" ht="12.75">
      <c r="A71" s="156" t="s">
        <v>69</v>
      </c>
      <c r="B71" s="157" t="s">
        <v>21</v>
      </c>
      <c r="C71" s="115"/>
      <c r="D71" s="131"/>
      <c r="E71" s="131"/>
      <c r="F71" s="131"/>
      <c r="G71" s="117" t="s">
        <v>40</v>
      </c>
      <c r="H71" s="173">
        <v>2.4</v>
      </c>
      <c r="I71" s="173">
        <v>4.2</v>
      </c>
      <c r="J71" s="173">
        <v>4.3499999999999996</v>
      </c>
      <c r="K71" s="173" t="s">
        <v>40</v>
      </c>
      <c r="L71" s="313" t="s">
        <v>40</v>
      </c>
      <c r="M71" s="173" t="s">
        <v>40</v>
      </c>
      <c r="N71" s="173" t="s">
        <v>40</v>
      </c>
    </row>
    <row r="72" spans="1:14" ht="12.75">
      <c r="A72" s="158" t="s">
        <v>70</v>
      </c>
      <c r="B72" s="157"/>
      <c r="C72" s="115"/>
      <c r="D72" s="131"/>
      <c r="E72" s="131"/>
      <c r="F72" s="131"/>
      <c r="G72" s="117" t="s">
        <v>40</v>
      </c>
      <c r="H72" s="173" t="s">
        <v>40</v>
      </c>
      <c r="I72" s="173" t="s">
        <v>40</v>
      </c>
      <c r="J72" s="173" t="s">
        <v>40</v>
      </c>
      <c r="K72" s="173" t="s">
        <v>40</v>
      </c>
      <c r="L72" s="313" t="s">
        <v>40</v>
      </c>
      <c r="M72" s="173" t="s">
        <v>40</v>
      </c>
      <c r="N72" s="173" t="s">
        <v>40</v>
      </c>
    </row>
    <row r="73" spans="1:14" ht="12.75">
      <c r="A73" s="159" t="s">
        <v>57</v>
      </c>
      <c r="B73" s="157" t="s">
        <v>21</v>
      </c>
      <c r="C73" s="115"/>
      <c r="D73" s="131"/>
      <c r="E73" s="131"/>
      <c r="F73" s="131"/>
      <c r="G73" s="117" t="s">
        <v>40</v>
      </c>
      <c r="H73" s="173" t="s">
        <v>40</v>
      </c>
      <c r="I73" s="173" t="s">
        <v>40</v>
      </c>
      <c r="J73" s="173" t="s">
        <v>40</v>
      </c>
      <c r="K73" s="173" t="s">
        <v>40</v>
      </c>
      <c r="L73" s="313" t="s">
        <v>40</v>
      </c>
      <c r="M73" s="173" t="s">
        <v>40</v>
      </c>
      <c r="N73" s="173" t="s">
        <v>40</v>
      </c>
    </row>
    <row r="74" spans="1:14" ht="12.75">
      <c r="A74" s="159" t="s">
        <v>58</v>
      </c>
      <c r="B74" s="157" t="s">
        <v>21</v>
      </c>
      <c r="C74" s="115"/>
      <c r="D74" s="131"/>
      <c r="E74" s="131"/>
      <c r="F74" s="131"/>
      <c r="G74" s="117" t="s">
        <v>40</v>
      </c>
      <c r="H74" s="173" t="s">
        <v>40</v>
      </c>
      <c r="I74" s="173" t="s">
        <v>40</v>
      </c>
      <c r="J74" s="173" t="s">
        <v>40</v>
      </c>
      <c r="K74" s="173" t="s">
        <v>40</v>
      </c>
      <c r="L74" s="313" t="s">
        <v>40</v>
      </c>
      <c r="M74" s="173" t="s">
        <v>40</v>
      </c>
      <c r="N74" s="173" t="s">
        <v>40</v>
      </c>
    </row>
    <row r="75" spans="1:14" ht="21">
      <c r="A75" s="159" t="s">
        <v>59</v>
      </c>
      <c r="B75" s="157" t="s">
        <v>21</v>
      </c>
      <c r="C75" s="115"/>
      <c r="D75" s="131"/>
      <c r="E75" s="131"/>
      <c r="F75" s="131"/>
      <c r="G75" s="117" t="s">
        <v>40</v>
      </c>
      <c r="H75" s="173" t="s">
        <v>40</v>
      </c>
      <c r="I75" s="173" t="s">
        <v>40</v>
      </c>
      <c r="J75" s="173" t="s">
        <v>40</v>
      </c>
      <c r="K75" s="173" t="s">
        <v>40</v>
      </c>
      <c r="L75" s="313" t="s">
        <v>40</v>
      </c>
      <c r="M75" s="173" t="s">
        <v>40</v>
      </c>
      <c r="N75" s="173" t="s">
        <v>40</v>
      </c>
    </row>
    <row r="76" spans="1:14" ht="12.75">
      <c r="A76" s="159" t="s">
        <v>60</v>
      </c>
      <c r="B76" s="157" t="s">
        <v>21</v>
      </c>
      <c r="C76" s="115"/>
      <c r="D76" s="131"/>
      <c r="E76" s="131"/>
      <c r="F76" s="131"/>
      <c r="G76" s="117" t="s">
        <v>40</v>
      </c>
      <c r="H76" s="173" t="s">
        <v>40</v>
      </c>
      <c r="I76" s="173" t="s">
        <v>40</v>
      </c>
      <c r="J76" s="173" t="s">
        <v>40</v>
      </c>
      <c r="K76" s="173" t="s">
        <v>40</v>
      </c>
      <c r="L76" s="313" t="s">
        <v>40</v>
      </c>
      <c r="M76" s="173" t="s">
        <v>40</v>
      </c>
      <c r="N76" s="173" t="s">
        <v>40</v>
      </c>
    </row>
    <row r="77" spans="1:14" ht="31.5">
      <c r="A77" s="159" t="s">
        <v>61</v>
      </c>
      <c r="B77" s="157" t="s">
        <v>21</v>
      </c>
      <c r="C77" s="115"/>
      <c r="D77" s="131"/>
      <c r="E77" s="131"/>
      <c r="F77" s="131"/>
      <c r="G77" s="117" t="s">
        <v>40</v>
      </c>
      <c r="H77" s="173" t="s">
        <v>40</v>
      </c>
      <c r="I77" s="173" t="s">
        <v>40</v>
      </c>
      <c r="J77" s="173" t="s">
        <v>40</v>
      </c>
      <c r="K77" s="173" t="s">
        <v>40</v>
      </c>
      <c r="L77" s="313" t="s">
        <v>40</v>
      </c>
      <c r="M77" s="173" t="s">
        <v>40</v>
      </c>
      <c r="N77" s="173" t="s">
        <v>40</v>
      </c>
    </row>
    <row r="78" spans="1:14" ht="12.75">
      <c r="A78" s="159" t="s">
        <v>62</v>
      </c>
      <c r="B78" s="157" t="s">
        <v>21</v>
      </c>
      <c r="C78" s="115"/>
      <c r="D78" s="131"/>
      <c r="E78" s="131"/>
      <c r="F78" s="131"/>
      <c r="G78" s="117" t="s">
        <v>40</v>
      </c>
      <c r="H78" s="173" t="s">
        <v>40</v>
      </c>
      <c r="I78" s="173" t="s">
        <v>40</v>
      </c>
      <c r="J78" s="173"/>
      <c r="K78" s="173" t="s">
        <v>40</v>
      </c>
      <c r="L78" s="313" t="s">
        <v>40</v>
      </c>
      <c r="M78" s="173" t="s">
        <v>40</v>
      </c>
      <c r="N78" s="173" t="s">
        <v>40</v>
      </c>
    </row>
    <row r="79" spans="1:14" ht="21">
      <c r="A79" s="159" t="s">
        <v>71</v>
      </c>
      <c r="B79" s="157" t="s">
        <v>21</v>
      </c>
      <c r="C79" s="115"/>
      <c r="D79" s="131"/>
      <c r="E79" s="131"/>
      <c r="F79" s="131"/>
      <c r="G79" s="117" t="s">
        <v>40</v>
      </c>
      <c r="H79" s="173" t="s">
        <v>40</v>
      </c>
      <c r="I79" s="173" t="s">
        <v>40</v>
      </c>
      <c r="J79" s="173"/>
      <c r="K79" s="173" t="s">
        <v>40</v>
      </c>
      <c r="L79" s="313" t="s">
        <v>40</v>
      </c>
      <c r="M79" s="173" t="s">
        <v>40</v>
      </c>
      <c r="N79" s="173" t="s">
        <v>40</v>
      </c>
    </row>
    <row r="80" spans="1:14" ht="12.75">
      <c r="A80" s="163" t="s">
        <v>31</v>
      </c>
      <c r="B80" s="157"/>
      <c r="C80" s="115"/>
      <c r="D80" s="131"/>
      <c r="E80" s="131"/>
      <c r="F80" s="131"/>
      <c r="G80" s="117" t="s">
        <v>40</v>
      </c>
      <c r="H80" s="173" t="s">
        <v>40</v>
      </c>
      <c r="I80" s="173" t="s">
        <v>40</v>
      </c>
      <c r="J80" s="173"/>
      <c r="K80" s="173" t="s">
        <v>40</v>
      </c>
      <c r="L80" s="313" t="s">
        <v>40</v>
      </c>
      <c r="M80" s="173" t="s">
        <v>40</v>
      </c>
      <c r="N80" s="173" t="s">
        <v>40</v>
      </c>
    </row>
    <row r="81" spans="1:15" ht="12.75">
      <c r="A81" s="159" t="s">
        <v>72</v>
      </c>
      <c r="B81" s="157" t="s">
        <v>21</v>
      </c>
      <c r="C81" s="115"/>
      <c r="D81" s="131"/>
      <c r="E81" s="131"/>
      <c r="F81" s="131"/>
      <c r="G81" s="117" t="s">
        <v>40</v>
      </c>
      <c r="H81" s="173" t="s">
        <v>40</v>
      </c>
      <c r="I81" s="173" t="s">
        <v>40</v>
      </c>
      <c r="J81" s="173"/>
      <c r="K81" s="173" t="s">
        <v>40</v>
      </c>
      <c r="L81" s="313" t="s">
        <v>40</v>
      </c>
      <c r="M81" s="173" t="s">
        <v>40</v>
      </c>
      <c r="N81" s="173" t="s">
        <v>40</v>
      </c>
    </row>
    <row r="82" spans="1:15" ht="35.25" customHeight="1">
      <c r="A82" s="156" t="s">
        <v>73</v>
      </c>
      <c r="B82" s="157" t="s">
        <v>21</v>
      </c>
      <c r="C82" s="115"/>
      <c r="D82" s="131"/>
      <c r="E82" s="131"/>
      <c r="F82" s="131"/>
      <c r="G82" s="117" t="e">
        <f>G84+G85+G86+G87+G88+G90+#REF!+#REF!</f>
        <v>#REF!</v>
      </c>
      <c r="H82" s="173">
        <v>2411.59</v>
      </c>
      <c r="I82" s="173">
        <v>2713.37</v>
      </c>
      <c r="J82" s="173">
        <v>3134.1</v>
      </c>
      <c r="K82" s="173">
        <v>3412</v>
      </c>
      <c r="L82" s="313">
        <f>K82*1.05</f>
        <v>3582.6000000000004</v>
      </c>
      <c r="M82" s="177">
        <f>L82*1.05</f>
        <v>3761.7300000000005</v>
      </c>
      <c r="N82" s="177">
        <f>M82*1.05</f>
        <v>3949.8165000000008</v>
      </c>
      <c r="O82" s="167"/>
    </row>
    <row r="83" spans="1:15" ht="14.25" customHeight="1">
      <c r="A83" s="158" t="s">
        <v>70</v>
      </c>
      <c r="B83" s="157"/>
      <c r="C83" s="115"/>
      <c r="D83" s="131"/>
      <c r="E83" s="131"/>
      <c r="F83" s="131"/>
      <c r="G83" s="117"/>
      <c r="H83" s="173"/>
      <c r="I83" s="173"/>
      <c r="J83" s="173"/>
      <c r="K83" s="173"/>
      <c r="L83" s="313"/>
      <c r="M83" s="173"/>
      <c r="N83" s="111"/>
    </row>
    <row r="84" spans="1:15" ht="14.25" customHeight="1">
      <c r="A84" s="159" t="s">
        <v>57</v>
      </c>
      <c r="B84" s="157" t="s">
        <v>21</v>
      </c>
      <c r="C84" s="115"/>
      <c r="D84" s="131"/>
      <c r="E84" s="131"/>
      <c r="F84" s="131"/>
      <c r="G84" s="146">
        <v>155.63999999999999</v>
      </c>
      <c r="H84" s="173">
        <v>331.4</v>
      </c>
      <c r="I84" s="173">
        <v>448.1</v>
      </c>
      <c r="J84" s="173">
        <v>761</v>
      </c>
      <c r="K84" s="173">
        <f>J84*1.05</f>
        <v>799.05000000000007</v>
      </c>
      <c r="L84" s="173">
        <f t="shared" ref="L84:N84" si="13">K84*1.05</f>
        <v>839.00250000000005</v>
      </c>
      <c r="M84" s="173">
        <f t="shared" si="13"/>
        <v>880.95262500000013</v>
      </c>
      <c r="N84" s="173">
        <f t="shared" si="13"/>
        <v>925.00025625000012</v>
      </c>
    </row>
    <row r="85" spans="1:15" ht="14.25" customHeight="1">
      <c r="A85" s="159" t="s">
        <v>58</v>
      </c>
      <c r="B85" s="157" t="s">
        <v>21</v>
      </c>
      <c r="C85" s="115"/>
      <c r="D85" s="131"/>
      <c r="E85" s="131"/>
      <c r="F85" s="131"/>
      <c r="G85" s="117">
        <v>31.25</v>
      </c>
      <c r="H85" s="173">
        <v>407</v>
      </c>
      <c r="I85" s="173">
        <v>412.51</v>
      </c>
      <c r="J85" s="173">
        <v>153</v>
      </c>
      <c r="K85" s="173">
        <f t="shared" ref="J85:N91" si="14">J85*1.05</f>
        <v>160.65</v>
      </c>
      <c r="L85" s="313">
        <f t="shared" si="14"/>
        <v>168.6825</v>
      </c>
      <c r="M85" s="173">
        <f t="shared" si="14"/>
        <v>177.116625</v>
      </c>
      <c r="N85" s="173">
        <f t="shared" si="14"/>
        <v>185.97245624999999</v>
      </c>
    </row>
    <row r="86" spans="1:15" ht="14.25" customHeight="1">
      <c r="A86" s="159" t="s">
        <v>59</v>
      </c>
      <c r="B86" s="157" t="s">
        <v>21</v>
      </c>
      <c r="C86" s="115"/>
      <c r="D86" s="131"/>
      <c r="E86" s="131"/>
      <c r="F86" s="131"/>
      <c r="G86" s="117">
        <v>517.47</v>
      </c>
      <c r="H86" s="173">
        <v>477.16</v>
      </c>
      <c r="I86" s="173">
        <v>494.89</v>
      </c>
      <c r="J86" s="173">
        <v>531</v>
      </c>
      <c r="K86" s="173">
        <f t="shared" si="14"/>
        <v>557.55000000000007</v>
      </c>
      <c r="L86" s="313">
        <f t="shared" si="14"/>
        <v>585.42750000000012</v>
      </c>
      <c r="M86" s="173">
        <f t="shared" si="14"/>
        <v>614.69887500000016</v>
      </c>
      <c r="N86" s="173">
        <f t="shared" si="14"/>
        <v>645.43381875000023</v>
      </c>
    </row>
    <row r="87" spans="1:15" ht="14.25" customHeight="1">
      <c r="A87" s="159" t="s">
        <v>60</v>
      </c>
      <c r="B87" s="157" t="s">
        <v>21</v>
      </c>
      <c r="C87" s="115"/>
      <c r="D87" s="131"/>
      <c r="E87" s="131"/>
      <c r="F87" s="131"/>
      <c r="G87" s="117">
        <v>593.11</v>
      </c>
      <c r="H87" s="173">
        <v>512.73</v>
      </c>
      <c r="I87" s="173">
        <v>528.11</v>
      </c>
      <c r="J87" s="173">
        <v>588</v>
      </c>
      <c r="K87" s="173">
        <f t="shared" si="14"/>
        <v>617.4</v>
      </c>
      <c r="L87" s="313">
        <f t="shared" si="14"/>
        <v>648.27</v>
      </c>
      <c r="M87" s="173">
        <f t="shared" si="14"/>
        <v>680.68349999999998</v>
      </c>
      <c r="N87" s="173">
        <f t="shared" si="14"/>
        <v>714.71767499999999</v>
      </c>
    </row>
    <row r="88" spans="1:15" ht="35.25" customHeight="1">
      <c r="A88" s="159" t="s">
        <v>61</v>
      </c>
      <c r="B88" s="157" t="s">
        <v>21</v>
      </c>
      <c r="C88" s="115"/>
      <c r="D88" s="131"/>
      <c r="E88" s="131"/>
      <c r="F88" s="131"/>
      <c r="G88" s="117">
        <v>239.35</v>
      </c>
      <c r="H88" s="173">
        <v>98.62</v>
      </c>
      <c r="I88" s="173">
        <v>101.57</v>
      </c>
      <c r="J88" s="173">
        <v>113</v>
      </c>
      <c r="K88" s="173">
        <f t="shared" si="14"/>
        <v>118.65</v>
      </c>
      <c r="L88" s="313">
        <f t="shared" si="14"/>
        <v>124.58250000000001</v>
      </c>
      <c r="M88" s="173">
        <f t="shared" si="14"/>
        <v>130.81162500000002</v>
      </c>
      <c r="N88" s="173">
        <f t="shared" si="14"/>
        <v>137.35220625000002</v>
      </c>
    </row>
    <row r="89" spans="1:15" ht="20.25" customHeight="1">
      <c r="A89" s="159" t="s">
        <v>74</v>
      </c>
      <c r="B89" s="157"/>
      <c r="C89" s="115"/>
      <c r="D89" s="131"/>
      <c r="E89" s="131"/>
      <c r="F89" s="131"/>
      <c r="G89" s="117"/>
      <c r="H89" s="173">
        <v>166.36</v>
      </c>
      <c r="I89" s="173">
        <v>235.23</v>
      </c>
      <c r="J89" s="173">
        <v>306</v>
      </c>
      <c r="K89" s="173">
        <f t="shared" si="14"/>
        <v>321.3</v>
      </c>
      <c r="L89" s="313">
        <f t="shared" si="14"/>
        <v>337.36500000000001</v>
      </c>
      <c r="M89" s="173">
        <f t="shared" si="14"/>
        <v>354.23325</v>
      </c>
      <c r="N89" s="173">
        <f t="shared" si="14"/>
        <v>371.94491249999999</v>
      </c>
    </row>
    <row r="90" spans="1:15" ht="23.25" customHeight="1">
      <c r="A90" s="159" t="s">
        <v>62</v>
      </c>
      <c r="B90" s="157" t="s">
        <v>21</v>
      </c>
      <c r="C90" s="115"/>
      <c r="D90" s="131"/>
      <c r="E90" s="131"/>
      <c r="F90" s="131"/>
      <c r="G90" s="117">
        <f>20/1000</f>
        <v>0.02</v>
      </c>
      <c r="H90" s="173">
        <v>0.05</v>
      </c>
      <c r="I90" s="173">
        <v>0.05</v>
      </c>
      <c r="J90" s="173">
        <f t="shared" si="14"/>
        <v>5.2500000000000005E-2</v>
      </c>
      <c r="K90" s="173" t="s">
        <v>40</v>
      </c>
      <c r="L90" s="173" t="s">
        <v>40</v>
      </c>
      <c r="M90" s="173" t="s">
        <v>40</v>
      </c>
      <c r="N90" s="173" t="s">
        <v>40</v>
      </c>
    </row>
    <row r="91" spans="1:15" ht="23.25" customHeight="1">
      <c r="A91" s="159" t="s">
        <v>286</v>
      </c>
      <c r="B91" s="157" t="s">
        <v>21</v>
      </c>
      <c r="C91" s="115"/>
      <c r="D91" s="131"/>
      <c r="E91" s="131"/>
      <c r="F91" s="131"/>
      <c r="G91" s="117" t="s">
        <v>40</v>
      </c>
      <c r="H91" s="173" t="s">
        <v>40</v>
      </c>
      <c r="I91" s="173" t="s">
        <v>40</v>
      </c>
      <c r="J91" s="173">
        <v>66</v>
      </c>
      <c r="K91" s="173">
        <v>89</v>
      </c>
      <c r="L91" s="313">
        <f>K91*1.05</f>
        <v>93.45</v>
      </c>
      <c r="M91" s="313">
        <f t="shared" si="14"/>
        <v>98.122500000000002</v>
      </c>
      <c r="N91" s="313">
        <f t="shared" si="14"/>
        <v>103.02862500000001</v>
      </c>
    </row>
    <row r="92" spans="1:15" ht="24.75" customHeight="1">
      <c r="A92" s="124" t="s">
        <v>75</v>
      </c>
      <c r="B92" s="114"/>
      <c r="C92" s="115"/>
      <c r="D92" s="131"/>
      <c r="E92" s="131"/>
      <c r="F92" s="131"/>
      <c r="G92" s="117"/>
      <c r="H92" s="173"/>
      <c r="I92" s="299">
        <v>3858.1</v>
      </c>
      <c r="J92" s="299">
        <v>4216</v>
      </c>
      <c r="K92" s="299">
        <v>4301.1000000000004</v>
      </c>
      <c r="L92" s="314">
        <v>4563</v>
      </c>
      <c r="M92" s="299">
        <v>4745.5</v>
      </c>
      <c r="N92" s="111"/>
    </row>
    <row r="93" spans="1:15" ht="21">
      <c r="A93" s="164" t="s">
        <v>76</v>
      </c>
      <c r="B93" s="165" t="s">
        <v>21</v>
      </c>
      <c r="C93" s="115">
        <v>1</v>
      </c>
      <c r="D93" s="131"/>
      <c r="E93" s="131"/>
      <c r="F93" s="131"/>
      <c r="G93" s="117">
        <v>5135.8</v>
      </c>
      <c r="H93" s="173">
        <v>3356.31</v>
      </c>
      <c r="I93" s="173">
        <v>3858.1</v>
      </c>
      <c r="J93" s="173">
        <v>4343.2</v>
      </c>
      <c r="K93" s="173">
        <v>4681</v>
      </c>
      <c r="L93" s="313">
        <v>5002</v>
      </c>
      <c r="M93" s="173">
        <v>5365</v>
      </c>
      <c r="N93" s="173">
        <v>5685</v>
      </c>
      <c r="O93" s="98">
        <f>J93/I93*100</f>
        <v>112.57354656437106</v>
      </c>
    </row>
    <row r="94" spans="1:15" ht="12.75">
      <c r="A94" s="113" t="s">
        <v>14</v>
      </c>
      <c r="B94" s="120" t="s">
        <v>15</v>
      </c>
      <c r="C94" s="115"/>
      <c r="D94" s="131"/>
      <c r="E94" s="131"/>
      <c r="F94" s="131"/>
      <c r="G94" s="117"/>
      <c r="H94" s="295">
        <v>180</v>
      </c>
      <c r="I94" s="295">
        <f>I93/H93/I95*10000</f>
        <v>102.72622448848824</v>
      </c>
      <c r="J94" s="295">
        <f t="shared" ref="J94:N94" si="15">J93/I93/J95*10000</f>
        <v>106.20145902299157</v>
      </c>
      <c r="K94" s="295">
        <f t="shared" si="15"/>
        <v>102.64540518730978</v>
      </c>
      <c r="L94" s="310">
        <f t="shared" si="15"/>
        <v>102.25598954952783</v>
      </c>
      <c r="M94" s="295">
        <f t="shared" si="15"/>
        <v>102.93387443487096</v>
      </c>
      <c r="N94" s="295">
        <f t="shared" si="15"/>
        <v>101.69345995674675</v>
      </c>
    </row>
    <row r="95" spans="1:15" ht="12.75">
      <c r="A95" s="113" t="s">
        <v>16</v>
      </c>
      <c r="B95" s="120" t="s">
        <v>15</v>
      </c>
      <c r="C95" s="115"/>
      <c r="D95" s="131"/>
      <c r="E95" s="131"/>
      <c r="F95" s="131"/>
      <c r="G95" s="117"/>
      <c r="H95" s="295">
        <v>107.4</v>
      </c>
      <c r="I95" s="295">
        <v>111.9</v>
      </c>
      <c r="J95" s="295">
        <v>106</v>
      </c>
      <c r="K95" s="295">
        <v>105</v>
      </c>
      <c r="L95" s="310">
        <v>104.5</v>
      </c>
      <c r="M95" s="295">
        <v>104.2</v>
      </c>
      <c r="N95" s="295">
        <v>104.2</v>
      </c>
    </row>
    <row r="96" spans="1:15" ht="14.25">
      <c r="A96" s="124" t="s">
        <v>92</v>
      </c>
      <c r="B96" s="114"/>
      <c r="C96" s="115"/>
      <c r="D96" s="131"/>
      <c r="E96" s="131"/>
      <c r="F96" s="131"/>
      <c r="G96" s="117"/>
      <c r="H96" s="173"/>
      <c r="I96" s="173"/>
      <c r="J96" s="173"/>
      <c r="K96" s="173"/>
      <c r="L96" s="313"/>
      <c r="M96" s="173"/>
      <c r="N96" s="111"/>
    </row>
    <row r="97" spans="1:16" ht="12.75">
      <c r="A97" s="113" t="s">
        <v>93</v>
      </c>
      <c r="B97" s="114" t="s">
        <v>94</v>
      </c>
      <c r="C97" s="115">
        <v>1</v>
      </c>
      <c r="D97" s="131"/>
      <c r="E97" s="131"/>
      <c r="F97" s="131"/>
      <c r="G97" s="117">
        <v>110</v>
      </c>
      <c r="H97" s="173">
        <v>152.19999999999999</v>
      </c>
      <c r="I97" s="173">
        <v>184.5</v>
      </c>
      <c r="J97" s="173">
        <v>9720.7000000000007</v>
      </c>
      <c r="K97" s="173">
        <f>J97*1.01</f>
        <v>9817.9070000000011</v>
      </c>
      <c r="L97" s="313">
        <f t="shared" ref="L97:N98" si="16">K97*1.01</f>
        <v>9916.0860700000012</v>
      </c>
      <c r="M97" s="173">
        <f t="shared" si="16"/>
        <v>10015.246930700001</v>
      </c>
      <c r="N97" s="173">
        <f t="shared" si="16"/>
        <v>10115.399400007002</v>
      </c>
    </row>
    <row r="98" spans="1:16" ht="12.75">
      <c r="A98" s="113" t="s">
        <v>95</v>
      </c>
      <c r="B98" s="114" t="s">
        <v>94</v>
      </c>
      <c r="C98" s="115">
        <v>1</v>
      </c>
      <c r="D98" s="131"/>
      <c r="E98" s="131"/>
      <c r="F98" s="131"/>
      <c r="G98" s="117">
        <v>438</v>
      </c>
      <c r="H98" s="173">
        <v>1669.2</v>
      </c>
      <c r="I98" s="173">
        <v>948.9</v>
      </c>
      <c r="J98" s="173">
        <v>2916.6</v>
      </c>
      <c r="K98" s="173">
        <f>J98*1.01</f>
        <v>2945.7660000000001</v>
      </c>
      <c r="L98" s="313">
        <f t="shared" si="16"/>
        <v>2975.2236600000001</v>
      </c>
      <c r="M98" s="173">
        <f t="shared" si="16"/>
        <v>3004.9758965999999</v>
      </c>
      <c r="N98" s="173">
        <f t="shared" si="16"/>
        <v>3035.0256555659998</v>
      </c>
    </row>
    <row r="99" spans="1:16" ht="22.5">
      <c r="A99" s="113" t="s">
        <v>96</v>
      </c>
      <c r="B99" s="170" t="s">
        <v>97</v>
      </c>
      <c r="C99" s="115">
        <v>1</v>
      </c>
      <c r="D99" s="131"/>
      <c r="E99" s="131"/>
      <c r="F99" s="131"/>
      <c r="G99" s="117">
        <v>18.04</v>
      </c>
      <c r="H99" s="173">
        <v>34.97</v>
      </c>
      <c r="I99" s="173">
        <v>13.9</v>
      </c>
      <c r="J99" s="173">
        <f>J202</f>
        <v>22.4</v>
      </c>
      <c r="K99" s="173">
        <f t="shared" ref="K99:N99" si="17">K202</f>
        <v>14.9</v>
      </c>
      <c r="L99" s="173">
        <f t="shared" si="17"/>
        <v>16</v>
      </c>
      <c r="M99" s="173">
        <f t="shared" si="17"/>
        <v>16.5</v>
      </c>
      <c r="N99" s="173">
        <f t="shared" si="17"/>
        <v>17.5</v>
      </c>
    </row>
    <row r="100" spans="1:16" ht="14.25">
      <c r="A100" s="171" t="s">
        <v>98</v>
      </c>
      <c r="B100" s="114"/>
      <c r="C100" s="115"/>
      <c r="D100" s="131"/>
      <c r="E100" s="131"/>
      <c r="F100" s="131"/>
      <c r="G100" s="117"/>
      <c r="H100" s="173"/>
      <c r="I100" s="173"/>
      <c r="J100" s="173"/>
      <c r="K100" s="173"/>
      <c r="L100" s="313"/>
      <c r="M100" s="173"/>
      <c r="N100" s="111"/>
    </row>
    <row r="101" spans="1:16" ht="12.75">
      <c r="A101" s="172" t="s">
        <v>99</v>
      </c>
      <c r="B101" s="114" t="s">
        <v>94</v>
      </c>
      <c r="C101" s="115"/>
      <c r="D101" s="131"/>
      <c r="E101" s="131"/>
      <c r="F101" s="131"/>
      <c r="G101" s="117">
        <v>597.36099999999999</v>
      </c>
      <c r="H101" s="173">
        <f t="shared" ref="H101:M101" si="18">H102+H118+H123</f>
        <v>805.01209999999992</v>
      </c>
      <c r="I101" s="173">
        <f t="shared" si="18"/>
        <v>734.56050000000005</v>
      </c>
      <c r="J101" s="173">
        <f>J102+J118+J123</f>
        <v>660.41500000000008</v>
      </c>
      <c r="K101" s="173">
        <f>K102+K118+K123</f>
        <v>683.24</v>
      </c>
      <c r="L101" s="313">
        <f>L102+L118+L123</f>
        <v>706.673</v>
      </c>
      <c r="M101" s="173">
        <f t="shared" si="18"/>
        <v>709.07299999999998</v>
      </c>
      <c r="N101" s="173">
        <f t="shared" ref="N101" si="19">N102+N118+N123</f>
        <v>709.12299999999993</v>
      </c>
    </row>
    <row r="102" spans="1:16" ht="12.75">
      <c r="A102" s="113" t="s">
        <v>100</v>
      </c>
      <c r="B102" s="114" t="s">
        <v>94</v>
      </c>
      <c r="C102" s="115">
        <v>1</v>
      </c>
      <c r="D102" s="131"/>
      <c r="E102" s="131"/>
      <c r="F102" s="131"/>
      <c r="G102" s="117">
        <v>45.615000000000002</v>
      </c>
      <c r="H102" s="173">
        <f>H104+H105+H111+H117</f>
        <v>92.16</v>
      </c>
      <c r="I102" s="173">
        <f>I104+I105+I111+I117+I110</f>
        <v>85.5</v>
      </c>
      <c r="J102" s="173">
        <f t="shared" ref="J102:M102" si="20">J104+J105+J111+J117+J110</f>
        <v>88.61</v>
      </c>
      <c r="K102" s="173">
        <f>K104+K105+K111+K117+K110</f>
        <v>88.64</v>
      </c>
      <c r="L102" s="313">
        <f t="shared" si="20"/>
        <v>91.75</v>
      </c>
      <c r="M102" s="173">
        <f t="shared" si="20"/>
        <v>94.05</v>
      </c>
      <c r="N102" s="173">
        <v>94.1</v>
      </c>
      <c r="P102" s="167"/>
    </row>
    <row r="103" spans="1:16" ht="12.75">
      <c r="A103" s="113" t="s">
        <v>101</v>
      </c>
      <c r="B103" s="114" t="s">
        <v>94</v>
      </c>
      <c r="C103" s="115">
        <v>1</v>
      </c>
      <c r="D103" s="131"/>
      <c r="E103" s="131"/>
      <c r="F103" s="131"/>
      <c r="G103" s="117">
        <v>26.427</v>
      </c>
      <c r="H103" s="173"/>
      <c r="I103" s="173"/>
      <c r="J103" s="173"/>
      <c r="K103" s="173"/>
      <c r="L103" s="313"/>
      <c r="M103" s="173"/>
      <c r="N103" s="173"/>
    </row>
    <row r="104" spans="1:16" ht="12.75">
      <c r="A104" s="113" t="s">
        <v>102</v>
      </c>
      <c r="B104" s="114" t="s">
        <v>94</v>
      </c>
      <c r="C104" s="115">
        <v>1</v>
      </c>
      <c r="D104" s="131"/>
      <c r="E104" s="131"/>
      <c r="F104" s="131"/>
      <c r="G104" s="117">
        <v>26.427</v>
      </c>
      <c r="H104" s="173">
        <v>54.1</v>
      </c>
      <c r="I104" s="173">
        <v>49.85</v>
      </c>
      <c r="J104" s="173">
        <v>52</v>
      </c>
      <c r="K104" s="173">
        <v>52.6</v>
      </c>
      <c r="L104" s="313">
        <v>53</v>
      </c>
      <c r="M104" s="173">
        <v>54</v>
      </c>
      <c r="N104" s="173">
        <v>54</v>
      </c>
    </row>
    <row r="105" spans="1:16" ht="12.75">
      <c r="A105" s="113" t="s">
        <v>103</v>
      </c>
      <c r="B105" s="114" t="s">
        <v>94</v>
      </c>
      <c r="C105" s="115">
        <v>1</v>
      </c>
      <c r="D105" s="131"/>
      <c r="E105" s="131"/>
      <c r="F105" s="131"/>
      <c r="G105" s="117">
        <v>7.6130000000000004</v>
      </c>
      <c r="H105" s="173">
        <v>14.65</v>
      </c>
      <c r="I105" s="173">
        <v>14.29</v>
      </c>
      <c r="J105" s="173">
        <f>J106+J108</f>
        <v>12.57</v>
      </c>
      <c r="K105" s="173">
        <f>K106+K108</f>
        <v>12.7</v>
      </c>
      <c r="L105" s="313">
        <f>L106+L108</f>
        <v>13.5</v>
      </c>
      <c r="M105" s="173">
        <f>M106+M108</f>
        <v>14.8</v>
      </c>
      <c r="N105" s="173">
        <f>N106+N108</f>
        <v>14.8</v>
      </c>
    </row>
    <row r="106" spans="1:16" ht="12.75">
      <c r="A106" s="113" t="s">
        <v>104</v>
      </c>
      <c r="B106" s="114" t="s">
        <v>94</v>
      </c>
      <c r="C106" s="115"/>
      <c r="D106" s="131"/>
      <c r="E106" s="131"/>
      <c r="F106" s="131"/>
      <c r="G106" s="117">
        <v>1.7030000000000001</v>
      </c>
      <c r="H106" s="173">
        <v>4.17</v>
      </c>
      <c r="I106" s="173">
        <v>5.01</v>
      </c>
      <c r="J106" s="173">
        <v>4.3</v>
      </c>
      <c r="K106" s="173">
        <v>4</v>
      </c>
      <c r="L106" s="313">
        <v>4.3</v>
      </c>
      <c r="M106" s="173">
        <v>4.3</v>
      </c>
      <c r="N106" s="173">
        <v>4.3</v>
      </c>
    </row>
    <row r="107" spans="1:16" ht="12.75">
      <c r="A107" s="113" t="s">
        <v>105</v>
      </c>
      <c r="B107" s="114" t="s">
        <v>94</v>
      </c>
      <c r="C107" s="115">
        <v>1</v>
      </c>
      <c r="D107" s="131"/>
      <c r="E107" s="131"/>
      <c r="F107" s="131"/>
      <c r="G107" s="117">
        <v>1.01</v>
      </c>
      <c r="H107" s="173"/>
      <c r="I107" s="173"/>
      <c r="J107" s="173"/>
      <c r="K107" s="173"/>
      <c r="L107" s="313"/>
      <c r="M107" s="173"/>
      <c r="N107" s="173"/>
    </row>
    <row r="108" spans="1:16" ht="12.75">
      <c r="A108" s="113" t="s">
        <v>106</v>
      </c>
      <c r="B108" s="114" t="s">
        <v>94</v>
      </c>
      <c r="C108" s="115"/>
      <c r="D108" s="131"/>
      <c r="E108" s="131"/>
      <c r="F108" s="131"/>
      <c r="G108" s="117">
        <v>4.9000000000000004</v>
      </c>
      <c r="H108" s="173">
        <v>10.48</v>
      </c>
      <c r="I108" s="173">
        <v>9.2799999999999994</v>
      </c>
      <c r="J108" s="173">
        <v>8.27</v>
      </c>
      <c r="K108" s="173">
        <v>8.6999999999999993</v>
      </c>
      <c r="L108" s="313">
        <v>9.1999999999999993</v>
      </c>
      <c r="M108" s="173">
        <v>10.5</v>
      </c>
      <c r="N108" s="173">
        <v>10.5</v>
      </c>
    </row>
    <row r="109" spans="1:16" ht="21">
      <c r="A109" s="113" t="s">
        <v>107</v>
      </c>
      <c r="B109" s="114" t="s">
        <v>94</v>
      </c>
      <c r="C109" s="115">
        <v>1</v>
      </c>
      <c r="D109" s="131"/>
      <c r="E109" s="131"/>
      <c r="F109" s="131"/>
      <c r="G109" s="117"/>
      <c r="H109" s="173"/>
      <c r="I109" s="173"/>
      <c r="J109" s="173"/>
      <c r="K109" s="173"/>
      <c r="L109" s="313"/>
      <c r="M109" s="173"/>
      <c r="N109" s="173"/>
    </row>
    <row r="110" spans="1:16" ht="21">
      <c r="A110" s="113" t="s">
        <v>108</v>
      </c>
      <c r="B110" s="114" t="s">
        <v>94</v>
      </c>
      <c r="C110" s="115">
        <v>1</v>
      </c>
      <c r="D110" s="131"/>
      <c r="E110" s="131"/>
      <c r="F110" s="131"/>
      <c r="G110" s="117"/>
      <c r="H110" s="173">
        <v>19</v>
      </c>
      <c r="I110" s="173">
        <v>15.56</v>
      </c>
      <c r="J110" s="173">
        <v>12.5</v>
      </c>
      <c r="K110" s="173">
        <v>9.9</v>
      </c>
      <c r="L110" s="313">
        <v>12</v>
      </c>
      <c r="M110" s="173">
        <v>12</v>
      </c>
      <c r="N110" s="173">
        <v>12</v>
      </c>
    </row>
    <row r="111" spans="1:16" ht="12.75">
      <c r="A111" s="113" t="s">
        <v>109</v>
      </c>
      <c r="B111" s="114" t="s">
        <v>94</v>
      </c>
      <c r="C111" s="115">
        <v>1</v>
      </c>
      <c r="D111" s="131"/>
      <c r="E111" s="131"/>
      <c r="F111" s="131"/>
      <c r="G111" s="117">
        <v>7.032</v>
      </c>
      <c r="H111" s="173">
        <f>H112+H114</f>
        <v>2.3199999999999998</v>
      </c>
      <c r="I111" s="173">
        <f>I112+I114</f>
        <v>3.36</v>
      </c>
      <c r="J111" s="173">
        <f>J112+J113+J114</f>
        <v>9.3899999999999988</v>
      </c>
      <c r="K111" s="173">
        <f>K112+K113+K114</f>
        <v>11.839999999999998</v>
      </c>
      <c r="L111" s="313">
        <f t="shared" ref="L111:M111" si="21">L112+L113+L114</f>
        <v>11.1</v>
      </c>
      <c r="M111" s="173">
        <f t="shared" si="21"/>
        <v>11.1</v>
      </c>
      <c r="N111" s="173">
        <f t="shared" ref="N111" si="22">N112+N113+N114</f>
        <v>11.1</v>
      </c>
    </row>
    <row r="112" spans="1:16" ht="21">
      <c r="A112" s="113" t="s">
        <v>110</v>
      </c>
      <c r="B112" s="114" t="s">
        <v>94</v>
      </c>
      <c r="C112" s="115">
        <v>1</v>
      </c>
      <c r="D112" s="131"/>
      <c r="E112" s="131"/>
      <c r="F112" s="131"/>
      <c r="G112" s="117">
        <v>1.6759999999999999</v>
      </c>
      <c r="H112" s="173">
        <v>1.99</v>
      </c>
      <c r="I112" s="173">
        <v>2.88</v>
      </c>
      <c r="J112" s="173">
        <v>2.29</v>
      </c>
      <c r="K112" s="173">
        <v>2.7</v>
      </c>
      <c r="L112" s="313">
        <v>2.4</v>
      </c>
      <c r="M112" s="173">
        <v>2.4</v>
      </c>
      <c r="N112" s="173">
        <v>2.4</v>
      </c>
    </row>
    <row r="113" spans="1:15" ht="21">
      <c r="A113" s="113" t="s">
        <v>111</v>
      </c>
      <c r="B113" s="114" t="s">
        <v>94</v>
      </c>
      <c r="C113" s="115">
        <v>1</v>
      </c>
      <c r="D113" s="131"/>
      <c r="E113" s="131"/>
      <c r="F113" s="131"/>
      <c r="G113" s="117">
        <v>4.2990000000000004</v>
      </c>
      <c r="H113" s="173"/>
      <c r="I113" s="173"/>
      <c r="J113" s="173">
        <v>6.66</v>
      </c>
      <c r="K113" s="173">
        <v>8.6999999999999993</v>
      </c>
      <c r="L113" s="313">
        <v>8.5</v>
      </c>
      <c r="M113" s="173">
        <v>8.5</v>
      </c>
      <c r="N113" s="173">
        <v>8.5</v>
      </c>
    </row>
    <row r="114" spans="1:15" ht="12.75">
      <c r="A114" s="113" t="s">
        <v>112</v>
      </c>
      <c r="B114" s="114" t="s">
        <v>94</v>
      </c>
      <c r="C114" s="115"/>
      <c r="D114" s="131"/>
      <c r="E114" s="131"/>
      <c r="F114" s="131"/>
      <c r="G114" s="117">
        <v>1.0569999999999999</v>
      </c>
      <c r="H114" s="173">
        <v>0.33</v>
      </c>
      <c r="I114" s="173">
        <v>0.48</v>
      </c>
      <c r="J114" s="173">
        <v>0.44</v>
      </c>
      <c r="K114" s="173">
        <v>0.44</v>
      </c>
      <c r="L114" s="313">
        <v>0.2</v>
      </c>
      <c r="M114" s="173">
        <v>0.2</v>
      </c>
      <c r="N114" s="173">
        <v>0.2</v>
      </c>
      <c r="O114" s="167"/>
    </row>
    <row r="115" spans="1:15" ht="21">
      <c r="A115" s="113" t="s">
        <v>113</v>
      </c>
      <c r="B115" s="114" t="s">
        <v>94</v>
      </c>
      <c r="C115" s="115">
        <v>1</v>
      </c>
      <c r="D115" s="131"/>
      <c r="E115" s="131"/>
      <c r="F115" s="131"/>
      <c r="G115" s="117">
        <v>0.124</v>
      </c>
      <c r="H115" s="173"/>
      <c r="I115" s="173"/>
      <c r="J115" s="173"/>
      <c r="K115" s="173"/>
      <c r="L115" s="313"/>
      <c r="M115" s="173"/>
      <c r="N115" s="173"/>
    </row>
    <row r="116" spans="1:15" ht="12.75">
      <c r="A116" s="113" t="s">
        <v>114</v>
      </c>
      <c r="B116" s="114" t="s">
        <v>94</v>
      </c>
      <c r="C116" s="115">
        <v>1</v>
      </c>
      <c r="D116" s="131"/>
      <c r="E116" s="131"/>
      <c r="F116" s="131"/>
      <c r="G116" s="117"/>
      <c r="H116" s="173"/>
      <c r="I116" s="173"/>
      <c r="J116" s="173"/>
      <c r="K116" s="173"/>
      <c r="L116" s="313"/>
      <c r="M116" s="173"/>
      <c r="N116" s="173"/>
    </row>
    <row r="117" spans="1:15" ht="12.75">
      <c r="A117" s="113" t="s">
        <v>115</v>
      </c>
      <c r="B117" s="114" t="s">
        <v>94</v>
      </c>
      <c r="C117" s="115">
        <v>1</v>
      </c>
      <c r="D117" s="131"/>
      <c r="E117" s="131"/>
      <c r="F117" s="131"/>
      <c r="G117" s="117">
        <v>4.4189999999999996</v>
      </c>
      <c r="H117" s="173">
        <v>21.09</v>
      </c>
      <c r="I117" s="173">
        <f>18-I110</f>
        <v>2.4399999999999995</v>
      </c>
      <c r="J117" s="173">
        <v>2.15</v>
      </c>
      <c r="K117" s="173">
        <v>1.6</v>
      </c>
      <c r="L117" s="313">
        <v>2.15</v>
      </c>
      <c r="M117" s="173">
        <v>2.15</v>
      </c>
      <c r="N117" s="173">
        <v>2.15</v>
      </c>
    </row>
    <row r="118" spans="1:15" ht="12.75">
      <c r="A118" s="172" t="s">
        <v>116</v>
      </c>
      <c r="B118" s="114" t="s">
        <v>94</v>
      </c>
      <c r="C118" s="115">
        <v>1</v>
      </c>
      <c r="D118" s="131"/>
      <c r="E118" s="131"/>
      <c r="F118" s="131"/>
      <c r="G118" s="117">
        <v>8.8320000000000007</v>
      </c>
      <c r="H118" s="173">
        <f>H119+H121+H122</f>
        <v>18.6921</v>
      </c>
      <c r="I118" s="173">
        <f>I119+I122</f>
        <v>15.665500000000002</v>
      </c>
      <c r="J118" s="173">
        <f>J119+J122</f>
        <v>11.385</v>
      </c>
      <c r="K118" s="173">
        <f>K119+K122</f>
        <v>10.9</v>
      </c>
      <c r="L118" s="313">
        <f t="shared" ref="L118:M118" si="23">L119+L122</f>
        <v>12.09</v>
      </c>
      <c r="M118" s="173">
        <f t="shared" si="23"/>
        <v>12.190000000000001</v>
      </c>
      <c r="N118" s="173">
        <f t="shared" ref="N118" si="24">N119+N122</f>
        <v>12.190000000000001</v>
      </c>
      <c r="O118" s="137"/>
    </row>
    <row r="119" spans="1:15" ht="21">
      <c r="A119" s="113" t="s">
        <v>117</v>
      </c>
      <c r="B119" s="114" t="s">
        <v>94</v>
      </c>
      <c r="C119" s="115">
        <v>1</v>
      </c>
      <c r="D119" s="131"/>
      <c r="E119" s="131"/>
      <c r="F119" s="131"/>
      <c r="G119" s="117">
        <v>2.8450000000000002</v>
      </c>
      <c r="H119" s="173">
        <v>7.16</v>
      </c>
      <c r="I119" s="173">
        <v>5.79</v>
      </c>
      <c r="J119" s="173">
        <v>4.49</v>
      </c>
      <c r="K119" s="173">
        <v>4.5</v>
      </c>
      <c r="L119" s="313">
        <v>4.49</v>
      </c>
      <c r="M119" s="173">
        <v>4.49</v>
      </c>
      <c r="N119" s="173">
        <v>4.49</v>
      </c>
    </row>
    <row r="120" spans="1:15" ht="21">
      <c r="A120" s="113" t="s">
        <v>118</v>
      </c>
      <c r="B120" s="114" t="s">
        <v>94</v>
      </c>
      <c r="C120" s="115">
        <v>1</v>
      </c>
      <c r="D120" s="131"/>
      <c r="E120" s="131"/>
      <c r="F120" s="131"/>
      <c r="G120" s="117">
        <v>2.8450000000000002</v>
      </c>
      <c r="H120" s="173">
        <v>7.16</v>
      </c>
      <c r="I120" s="173">
        <v>5.79</v>
      </c>
      <c r="J120" s="173">
        <v>4.49</v>
      </c>
      <c r="K120" s="173">
        <v>5.9</v>
      </c>
      <c r="L120" s="313">
        <v>4.49</v>
      </c>
      <c r="M120" s="173">
        <v>4.49</v>
      </c>
      <c r="N120" s="173">
        <v>4.49</v>
      </c>
    </row>
    <row r="121" spans="1:15" ht="21">
      <c r="A121" s="113" t="s">
        <v>119</v>
      </c>
      <c r="B121" s="114" t="s">
        <v>94</v>
      </c>
      <c r="C121" s="115">
        <v>1</v>
      </c>
      <c r="D121" s="131"/>
      <c r="E121" s="131"/>
      <c r="F121" s="131"/>
      <c r="G121" s="117">
        <v>0.29599999999999999</v>
      </c>
      <c r="H121" s="173">
        <v>2.0999999999999999E-3</v>
      </c>
      <c r="I121" s="173"/>
      <c r="J121" s="173"/>
      <c r="K121" s="173"/>
      <c r="L121" s="313"/>
      <c r="M121" s="173"/>
      <c r="N121" s="173"/>
    </row>
    <row r="122" spans="1:15" ht="12.75">
      <c r="A122" s="113" t="s">
        <v>120</v>
      </c>
      <c r="B122" s="114" t="s">
        <v>94</v>
      </c>
      <c r="C122" s="115">
        <v>1</v>
      </c>
      <c r="D122" s="131"/>
      <c r="E122" s="131"/>
      <c r="F122" s="131"/>
      <c r="G122" s="117">
        <v>50.691000000000003</v>
      </c>
      <c r="H122" s="173">
        <v>11.53</v>
      </c>
      <c r="I122" s="173">
        <v>9.8755000000000006</v>
      </c>
      <c r="J122" s="173">
        <v>6.8949999999999996</v>
      </c>
      <c r="K122" s="173">
        <v>6.4</v>
      </c>
      <c r="L122" s="313">
        <v>7.6</v>
      </c>
      <c r="M122" s="173">
        <v>7.7</v>
      </c>
      <c r="N122" s="173">
        <v>7.7</v>
      </c>
    </row>
    <row r="123" spans="1:15" ht="12.75">
      <c r="A123" s="172" t="s">
        <v>121</v>
      </c>
      <c r="B123" s="114" t="s">
        <v>94</v>
      </c>
      <c r="C123" s="115">
        <v>1</v>
      </c>
      <c r="D123" s="131"/>
      <c r="E123" s="131"/>
      <c r="F123" s="131"/>
      <c r="G123" s="117">
        <v>542.91399999999999</v>
      </c>
      <c r="H123" s="173">
        <f>H124+H125+H126+H127+H128</f>
        <v>694.16</v>
      </c>
      <c r="I123" s="173">
        <f>I124+I125+I126+I127+I128</f>
        <v>633.39499999999998</v>
      </c>
      <c r="J123" s="173">
        <f>J124+J125+J126+J127+J128</f>
        <v>560.42000000000007</v>
      </c>
      <c r="K123" s="173">
        <f>K124+K125+K126+K127+K128</f>
        <v>583.70000000000005</v>
      </c>
      <c r="L123" s="313">
        <f>L124+L125+L127+L128+L126</f>
        <v>602.83299999999997</v>
      </c>
      <c r="M123" s="173">
        <f>M124+M125+M127+M128+M126</f>
        <v>602.83299999999997</v>
      </c>
      <c r="N123" s="173">
        <f>N124+N125+N127+N128+N126</f>
        <v>602.83299999999997</v>
      </c>
      <c r="O123" s="167"/>
    </row>
    <row r="124" spans="1:15" ht="31.5" customHeight="1">
      <c r="A124" s="113" t="s">
        <v>122</v>
      </c>
      <c r="B124" s="114" t="s">
        <v>94</v>
      </c>
      <c r="C124" s="115">
        <v>1</v>
      </c>
      <c r="D124" s="131"/>
      <c r="E124" s="131"/>
      <c r="F124" s="131"/>
      <c r="G124" s="117">
        <v>154.71600000000001</v>
      </c>
      <c r="H124" s="173">
        <v>79.61</v>
      </c>
      <c r="I124" s="173">
        <v>94.53</v>
      </c>
      <c r="J124" s="173">
        <v>94.7</v>
      </c>
      <c r="K124" s="173">
        <v>105</v>
      </c>
      <c r="L124" s="313">
        <v>108</v>
      </c>
      <c r="M124" s="173">
        <v>108</v>
      </c>
      <c r="N124" s="173">
        <v>108</v>
      </c>
    </row>
    <row r="125" spans="1:15" ht="12.75">
      <c r="A125" s="113" t="s">
        <v>123</v>
      </c>
      <c r="B125" s="114" t="s">
        <v>94</v>
      </c>
      <c r="C125" s="115">
        <v>1</v>
      </c>
      <c r="D125" s="131"/>
      <c r="E125" s="131"/>
      <c r="F125" s="131"/>
      <c r="G125" s="117">
        <v>305.596</v>
      </c>
      <c r="H125" s="173">
        <v>523.63</v>
      </c>
      <c r="I125" s="173">
        <v>452.41</v>
      </c>
      <c r="J125" s="173">
        <v>443.52</v>
      </c>
      <c r="K125" s="173">
        <v>456.5</v>
      </c>
      <c r="L125" s="313">
        <v>483.37</v>
      </c>
      <c r="M125" s="173">
        <v>483.37</v>
      </c>
      <c r="N125" s="173">
        <v>483.37</v>
      </c>
    </row>
    <row r="126" spans="1:15" ht="31.5">
      <c r="A126" s="113" t="s">
        <v>124</v>
      </c>
      <c r="B126" s="114" t="s">
        <v>94</v>
      </c>
      <c r="C126" s="115">
        <v>1</v>
      </c>
      <c r="D126" s="131"/>
      <c r="E126" s="131"/>
      <c r="F126" s="131"/>
      <c r="G126" s="117">
        <v>55.786999999999999</v>
      </c>
      <c r="H126" s="173">
        <v>26.17</v>
      </c>
      <c r="I126" s="173">
        <v>35</v>
      </c>
      <c r="J126" s="173"/>
      <c r="K126" s="173"/>
      <c r="L126" s="313"/>
      <c r="M126" s="173"/>
      <c r="N126" s="173"/>
    </row>
    <row r="127" spans="1:15" ht="12.75">
      <c r="A127" s="113" t="s">
        <v>125</v>
      </c>
      <c r="B127" s="114" t="s">
        <v>94</v>
      </c>
      <c r="C127" s="115">
        <v>1</v>
      </c>
      <c r="D127" s="131"/>
      <c r="E127" s="131"/>
      <c r="F127" s="131"/>
      <c r="G127" s="117">
        <v>17.294</v>
      </c>
      <c r="H127" s="173">
        <v>69.3</v>
      </c>
      <c r="I127" s="173">
        <v>53.424999999999997</v>
      </c>
      <c r="J127" s="173">
        <v>22.2</v>
      </c>
      <c r="K127" s="173">
        <v>22.2</v>
      </c>
      <c r="L127" s="313">
        <v>11.462999999999999</v>
      </c>
      <c r="M127" s="173">
        <v>11.462999999999999</v>
      </c>
      <c r="N127" s="173">
        <v>11.462999999999999</v>
      </c>
    </row>
    <row r="128" spans="1:15" ht="12.75">
      <c r="A128" s="113" t="s">
        <v>126</v>
      </c>
      <c r="B128" s="114" t="s">
        <v>94</v>
      </c>
      <c r="C128" s="115"/>
      <c r="D128" s="131"/>
      <c r="E128" s="131"/>
      <c r="F128" s="131"/>
      <c r="G128" s="117">
        <v>549</v>
      </c>
      <c r="H128" s="173">
        <v>-4.55</v>
      </c>
      <c r="I128" s="173">
        <v>-1.97</v>
      </c>
      <c r="J128" s="173"/>
      <c r="K128" s="173"/>
      <c r="L128" s="313"/>
      <c r="M128" s="173"/>
      <c r="N128" s="173"/>
    </row>
    <row r="129" spans="1:14" ht="12.75">
      <c r="A129" s="172" t="s">
        <v>127</v>
      </c>
      <c r="B129" s="114" t="s">
        <v>94</v>
      </c>
      <c r="C129" s="115">
        <v>1</v>
      </c>
      <c r="D129" s="131"/>
      <c r="E129" s="131"/>
      <c r="F129" s="131"/>
      <c r="G129" s="117">
        <v>584.072</v>
      </c>
      <c r="H129" s="173">
        <f>H130+H134+H139+H141+H142+H143+H144+H150</f>
        <v>862.27700000000004</v>
      </c>
      <c r="I129" s="173">
        <f>I130+I134+I139+I141+I142+I143+I144+I150+I149</f>
        <v>783.404</v>
      </c>
      <c r="J129" s="173">
        <f>J130+J134+J139+J141+J142+J143+J144+J150+J149</f>
        <v>666.44</v>
      </c>
      <c r="K129" s="173">
        <f t="shared" ref="K129" si="25">K130+K134+K139+K141+K142+K143+K144+K150+K149</f>
        <v>685.45</v>
      </c>
      <c r="L129" s="313">
        <f>L130+L134+L139+L141+L142+L143+L144+L150+L149</f>
        <v>706.63299999999992</v>
      </c>
      <c r="M129" s="173">
        <f>M130+M134+M139+M141+M142+M143+M144+M150+M149</f>
        <v>709.03300000000002</v>
      </c>
      <c r="N129" s="173">
        <f>N130+N134+N139+N141+N142+N143+N144+N150+N149</f>
        <v>709.03300000000002</v>
      </c>
    </row>
    <row r="130" spans="1:14" ht="12.75">
      <c r="A130" s="113" t="s">
        <v>128</v>
      </c>
      <c r="B130" s="114" t="s">
        <v>94</v>
      </c>
      <c r="C130" s="115"/>
      <c r="D130" s="131"/>
      <c r="E130" s="131"/>
      <c r="F130" s="131"/>
      <c r="G130" s="117">
        <v>54.616</v>
      </c>
      <c r="H130" s="173">
        <v>76.239999999999995</v>
      </c>
      <c r="I130" s="173">
        <v>80.739999999999995</v>
      </c>
      <c r="J130" s="173">
        <v>71.53</v>
      </c>
      <c r="K130" s="173">
        <v>73.17</v>
      </c>
      <c r="L130" s="313">
        <v>73</v>
      </c>
      <c r="M130" s="173">
        <v>73</v>
      </c>
      <c r="N130" s="173">
        <v>73</v>
      </c>
    </row>
    <row r="131" spans="1:14" ht="21">
      <c r="A131" s="113" t="s">
        <v>129</v>
      </c>
      <c r="B131" s="114" t="s">
        <v>94</v>
      </c>
      <c r="C131" s="115">
        <v>1</v>
      </c>
      <c r="D131" s="131"/>
      <c r="E131" s="131"/>
      <c r="F131" s="131"/>
      <c r="G131" s="117">
        <v>1.446</v>
      </c>
      <c r="H131" s="173">
        <v>1.65</v>
      </c>
      <c r="I131" s="173">
        <v>1.3492999999999999</v>
      </c>
      <c r="J131" s="173">
        <v>0.68</v>
      </c>
      <c r="K131" s="173">
        <v>0.68</v>
      </c>
      <c r="L131" s="313">
        <v>1.7490000000000001</v>
      </c>
      <c r="M131" s="173">
        <v>1.7490000000000001</v>
      </c>
      <c r="N131" s="173">
        <v>1.7490000000000001</v>
      </c>
    </row>
    <row r="132" spans="1:14" ht="12.75">
      <c r="A132" s="113" t="s">
        <v>130</v>
      </c>
      <c r="B132" s="114" t="s">
        <v>94</v>
      </c>
      <c r="C132" s="115">
        <v>1</v>
      </c>
      <c r="D132" s="131"/>
      <c r="E132" s="131"/>
      <c r="F132" s="131"/>
      <c r="G132" s="117">
        <v>34.590000000000003</v>
      </c>
      <c r="H132" s="173">
        <v>48.17</v>
      </c>
      <c r="I132" s="173">
        <v>42.49</v>
      </c>
      <c r="J132" s="173">
        <v>41.1</v>
      </c>
      <c r="K132" s="173">
        <v>41.1</v>
      </c>
      <c r="L132" s="313">
        <v>1.24</v>
      </c>
      <c r="M132" s="173">
        <v>1.24</v>
      </c>
      <c r="N132" s="173">
        <v>1.24</v>
      </c>
    </row>
    <row r="133" spans="1:14" ht="21">
      <c r="A133" s="113" t="s">
        <v>131</v>
      </c>
      <c r="B133" s="114" t="s">
        <v>94</v>
      </c>
      <c r="C133" s="115"/>
      <c r="D133" s="131"/>
      <c r="E133" s="131"/>
      <c r="F133" s="131"/>
      <c r="G133" s="117">
        <v>0</v>
      </c>
      <c r="H133" s="173"/>
      <c r="I133" s="173"/>
      <c r="J133" s="173"/>
      <c r="K133" s="173"/>
      <c r="L133" s="313"/>
      <c r="M133" s="173"/>
      <c r="N133" s="173"/>
    </row>
    <row r="134" spans="1:14" ht="12.75">
      <c r="A134" s="113" t="s">
        <v>132</v>
      </c>
      <c r="B134" s="114" t="s">
        <v>94</v>
      </c>
      <c r="C134" s="115">
        <v>1</v>
      </c>
      <c r="D134" s="131"/>
      <c r="E134" s="131"/>
      <c r="F134" s="131"/>
      <c r="G134" s="117">
        <v>10.532999999999999</v>
      </c>
      <c r="H134" s="173">
        <v>14.65</v>
      </c>
      <c r="I134" s="173">
        <v>41.39</v>
      </c>
      <c r="J134" s="173">
        <v>16.489999999999998</v>
      </c>
      <c r="K134" s="173">
        <v>16.489999999999998</v>
      </c>
      <c r="L134" s="313">
        <v>18</v>
      </c>
      <c r="M134" s="173">
        <v>18</v>
      </c>
      <c r="N134" s="173">
        <v>18</v>
      </c>
    </row>
    <row r="135" spans="1:14" ht="12.75">
      <c r="A135" s="113" t="s">
        <v>133</v>
      </c>
      <c r="B135" s="114" t="s">
        <v>94</v>
      </c>
      <c r="C135" s="115">
        <v>1</v>
      </c>
      <c r="D135" s="131"/>
      <c r="E135" s="131"/>
      <c r="F135" s="131"/>
      <c r="G135" s="117"/>
      <c r="H135" s="173"/>
      <c r="I135" s="173"/>
      <c r="J135" s="173"/>
      <c r="K135" s="173"/>
      <c r="L135" s="313"/>
      <c r="M135" s="173"/>
      <c r="N135" s="173"/>
    </row>
    <row r="136" spans="1:14" ht="12.75">
      <c r="A136" s="113" t="s">
        <v>134</v>
      </c>
      <c r="B136" s="114" t="s">
        <v>94</v>
      </c>
      <c r="C136" s="115">
        <v>1</v>
      </c>
      <c r="D136" s="131"/>
      <c r="E136" s="131"/>
      <c r="F136" s="131"/>
      <c r="G136" s="117">
        <v>10.532999999999999</v>
      </c>
      <c r="H136" s="173">
        <v>2.6739999999999999</v>
      </c>
      <c r="I136" s="173">
        <v>2.4500000000000002</v>
      </c>
      <c r="J136" s="173">
        <v>2.4700000000000002</v>
      </c>
      <c r="K136" s="173">
        <v>2.4700000000000002</v>
      </c>
      <c r="L136" s="313">
        <v>2.4790000000000001</v>
      </c>
      <c r="M136" s="173">
        <v>2.4790000000000001</v>
      </c>
      <c r="N136" s="173">
        <v>2.4790000000000001</v>
      </c>
    </row>
    <row r="137" spans="1:14" ht="12.75">
      <c r="A137" s="113" t="s">
        <v>135</v>
      </c>
      <c r="B137" s="114" t="s">
        <v>94</v>
      </c>
      <c r="C137" s="115">
        <v>1</v>
      </c>
      <c r="D137" s="131"/>
      <c r="E137" s="131"/>
      <c r="F137" s="131"/>
      <c r="G137" s="117"/>
      <c r="H137" s="173"/>
      <c r="I137" s="173"/>
      <c r="J137" s="173"/>
      <c r="K137" s="173"/>
      <c r="L137" s="313">
        <v>12</v>
      </c>
      <c r="M137" s="173">
        <v>12</v>
      </c>
      <c r="N137" s="173">
        <v>12</v>
      </c>
    </row>
    <row r="138" spans="1:14" ht="12.75">
      <c r="A138" s="113" t="s">
        <v>136</v>
      </c>
      <c r="B138" s="114" t="s">
        <v>94</v>
      </c>
      <c r="C138" s="115">
        <v>1</v>
      </c>
      <c r="D138" s="131"/>
      <c r="E138" s="131"/>
      <c r="F138" s="131"/>
      <c r="G138" s="117"/>
      <c r="H138" s="173">
        <v>11.975</v>
      </c>
      <c r="I138" s="173">
        <v>38.94</v>
      </c>
      <c r="J138" s="173">
        <v>15.06</v>
      </c>
      <c r="K138" s="173">
        <v>15.06</v>
      </c>
      <c r="L138" s="313">
        <f>1.56+3.681</f>
        <v>5.2409999999999997</v>
      </c>
      <c r="M138" s="173">
        <f>1.56+3.681</f>
        <v>5.2409999999999997</v>
      </c>
      <c r="N138" s="173">
        <f>1.56+3.681</f>
        <v>5.2409999999999997</v>
      </c>
    </row>
    <row r="139" spans="1:14" ht="12.75">
      <c r="A139" s="113" t="s">
        <v>137</v>
      </c>
      <c r="B139" s="114" t="s">
        <v>94</v>
      </c>
      <c r="C139" s="115">
        <v>1</v>
      </c>
      <c r="D139" s="131"/>
      <c r="E139" s="131"/>
      <c r="F139" s="131"/>
      <c r="G139" s="117">
        <v>18.646999999999998</v>
      </c>
      <c r="H139" s="173">
        <v>26.481000000000002</v>
      </c>
      <c r="I139" s="173">
        <v>16.829999999999998</v>
      </c>
      <c r="J139" s="173">
        <v>7.48</v>
      </c>
      <c r="K139" s="173">
        <v>7.48</v>
      </c>
      <c r="L139" s="313">
        <v>5.17</v>
      </c>
      <c r="M139" s="173">
        <v>5.17</v>
      </c>
      <c r="N139" s="173">
        <v>5.17</v>
      </c>
    </row>
    <row r="140" spans="1:14" ht="12.75">
      <c r="A140" s="113" t="s">
        <v>138</v>
      </c>
      <c r="B140" s="114" t="s">
        <v>94</v>
      </c>
      <c r="C140" s="115">
        <v>1</v>
      </c>
      <c r="D140" s="131"/>
      <c r="E140" s="131"/>
      <c r="F140" s="131"/>
      <c r="G140" s="117"/>
      <c r="H140" s="173"/>
      <c r="I140" s="173"/>
      <c r="J140" s="173"/>
      <c r="K140" s="173"/>
      <c r="L140" s="313"/>
      <c r="M140" s="173"/>
      <c r="N140" s="173"/>
    </row>
    <row r="141" spans="1:14" ht="12.75">
      <c r="A141" s="113" t="s">
        <v>139</v>
      </c>
      <c r="B141" s="114" t="s">
        <v>94</v>
      </c>
      <c r="C141" s="115">
        <v>1</v>
      </c>
      <c r="D141" s="131"/>
      <c r="E141" s="131"/>
      <c r="F141" s="131"/>
      <c r="G141" s="117">
        <v>368.57799999999997</v>
      </c>
      <c r="H141" s="173">
        <v>631.20000000000005</v>
      </c>
      <c r="I141" s="173">
        <v>520.28</v>
      </c>
      <c r="J141" s="173">
        <v>503.5</v>
      </c>
      <c r="K141" s="173">
        <v>519.97</v>
      </c>
      <c r="L141" s="313">
        <v>547.63</v>
      </c>
      <c r="M141" s="173">
        <v>547.63</v>
      </c>
      <c r="N141" s="173">
        <v>547.63</v>
      </c>
    </row>
    <row r="142" spans="1:14" ht="21">
      <c r="A142" s="113" t="s">
        <v>140</v>
      </c>
      <c r="B142" s="114" t="s">
        <v>94</v>
      </c>
      <c r="C142" s="115">
        <v>1</v>
      </c>
      <c r="D142" s="131"/>
      <c r="E142" s="131"/>
      <c r="F142" s="131"/>
      <c r="G142" s="117">
        <v>8.9909999999999997</v>
      </c>
      <c r="H142" s="173">
        <v>14.66</v>
      </c>
      <c r="I142" s="173">
        <v>18.68</v>
      </c>
      <c r="J142" s="173">
        <v>16</v>
      </c>
      <c r="K142" s="173">
        <v>18.09</v>
      </c>
      <c r="L142" s="313">
        <v>14.35</v>
      </c>
      <c r="M142" s="173">
        <v>14.35</v>
      </c>
      <c r="N142" s="173">
        <v>14.35</v>
      </c>
    </row>
    <row r="143" spans="1:14" ht="12.75">
      <c r="A143" s="113" t="s">
        <v>141</v>
      </c>
      <c r="B143" s="114" t="s">
        <v>94</v>
      </c>
      <c r="C143" s="115">
        <v>1</v>
      </c>
      <c r="D143" s="131"/>
      <c r="E143" s="131"/>
      <c r="F143" s="131"/>
      <c r="G143" s="117">
        <v>61.433999999999997</v>
      </c>
      <c r="H143" s="173">
        <v>35.624000000000002</v>
      </c>
      <c r="I143" s="173">
        <v>36.6</v>
      </c>
      <c r="J143" s="173">
        <v>10.72</v>
      </c>
      <c r="K143" s="173">
        <v>10.72</v>
      </c>
      <c r="L143" s="313">
        <v>2.2200000000000002</v>
      </c>
      <c r="M143" s="173">
        <v>2.2200000000000002</v>
      </c>
      <c r="N143" s="173">
        <v>2.2200000000000002</v>
      </c>
    </row>
    <row r="144" spans="1:14" ht="12.75">
      <c r="A144" s="113" t="s">
        <v>142</v>
      </c>
      <c r="B144" s="114" t="s">
        <v>94</v>
      </c>
      <c r="C144" s="115">
        <v>1</v>
      </c>
      <c r="D144" s="131"/>
      <c r="E144" s="131"/>
      <c r="F144" s="131"/>
      <c r="G144" s="117">
        <v>40.642000000000003</v>
      </c>
      <c r="H144" s="173">
        <v>55.872999999999998</v>
      </c>
      <c r="I144" s="173">
        <v>27.98</v>
      </c>
      <c r="J144" s="173">
        <v>19.5</v>
      </c>
      <c r="K144" s="173">
        <v>19.5</v>
      </c>
      <c r="L144" s="313">
        <v>23.963000000000001</v>
      </c>
      <c r="M144" s="173">
        <v>23.963000000000001</v>
      </c>
      <c r="N144" s="173">
        <v>23.963000000000001</v>
      </c>
    </row>
    <row r="145" spans="1:14" ht="12.75">
      <c r="A145" s="113" t="s">
        <v>143</v>
      </c>
      <c r="B145" s="114" t="s">
        <v>94</v>
      </c>
      <c r="C145" s="115"/>
      <c r="D145" s="131"/>
      <c r="E145" s="131"/>
      <c r="F145" s="131"/>
      <c r="G145" s="117"/>
      <c r="H145" s="173">
        <v>0.21</v>
      </c>
      <c r="I145" s="173">
        <v>0.21</v>
      </c>
      <c r="J145" s="173">
        <v>0.25</v>
      </c>
      <c r="K145" s="173">
        <v>0.25</v>
      </c>
      <c r="L145" s="313"/>
      <c r="M145" s="173"/>
      <c r="N145" s="173"/>
    </row>
    <row r="146" spans="1:14" ht="12.75">
      <c r="A146" s="113" t="s">
        <v>144</v>
      </c>
      <c r="B146" s="114" t="s">
        <v>94</v>
      </c>
      <c r="C146" s="115">
        <v>1</v>
      </c>
      <c r="D146" s="131"/>
      <c r="E146" s="131"/>
      <c r="F146" s="131"/>
      <c r="G146" s="117">
        <v>30.803000000000001</v>
      </c>
      <c r="H146" s="173">
        <v>43.53</v>
      </c>
      <c r="I146" s="173">
        <v>14.34</v>
      </c>
      <c r="J146" s="173">
        <v>17.25</v>
      </c>
      <c r="K146" s="173">
        <v>17.25</v>
      </c>
      <c r="L146" s="313">
        <v>45.45</v>
      </c>
      <c r="M146" s="173">
        <v>45.45</v>
      </c>
      <c r="N146" s="173">
        <v>45.45</v>
      </c>
    </row>
    <row r="147" spans="1:14" ht="12.75">
      <c r="A147" s="113" t="s">
        <v>145</v>
      </c>
      <c r="B147" s="114" t="s">
        <v>94</v>
      </c>
      <c r="C147" s="115">
        <v>1</v>
      </c>
      <c r="D147" s="131"/>
      <c r="E147" s="131"/>
      <c r="F147" s="131"/>
      <c r="G147" s="117">
        <v>9.8390000000000004</v>
      </c>
      <c r="H147" s="173">
        <v>6.56</v>
      </c>
      <c r="I147" s="173">
        <v>8.7200000000000006</v>
      </c>
      <c r="J147" s="173"/>
      <c r="K147" s="173"/>
      <c r="L147" s="313">
        <v>7.7222</v>
      </c>
      <c r="M147" s="173">
        <v>7.7222</v>
      </c>
      <c r="N147" s="173">
        <v>7.7222</v>
      </c>
    </row>
    <row r="148" spans="1:14" ht="12.75">
      <c r="A148" s="113" t="s">
        <v>146</v>
      </c>
      <c r="B148" s="114" t="s">
        <v>94</v>
      </c>
      <c r="C148" s="115">
        <v>1</v>
      </c>
      <c r="D148" s="131"/>
      <c r="E148" s="131"/>
      <c r="F148" s="131"/>
      <c r="G148" s="117">
        <v>0</v>
      </c>
      <c r="H148" s="173">
        <v>5.57</v>
      </c>
      <c r="I148" s="173">
        <v>4.71</v>
      </c>
      <c r="J148" s="173"/>
      <c r="K148" s="173"/>
      <c r="L148" s="313"/>
      <c r="M148" s="173"/>
      <c r="N148" s="173"/>
    </row>
    <row r="149" spans="1:14" ht="31.5">
      <c r="A149" s="113" t="s">
        <v>147</v>
      </c>
      <c r="B149" s="114" t="s">
        <v>94</v>
      </c>
      <c r="C149" s="115"/>
      <c r="D149" s="131"/>
      <c r="E149" s="131"/>
      <c r="F149" s="131"/>
      <c r="G149" s="117"/>
      <c r="H149" s="173"/>
      <c r="I149" s="173">
        <v>36.874000000000002</v>
      </c>
      <c r="J149" s="173">
        <v>21.22</v>
      </c>
      <c r="K149" s="173">
        <v>18.43</v>
      </c>
      <c r="L149" s="313">
        <v>21</v>
      </c>
      <c r="M149" s="173">
        <v>21</v>
      </c>
      <c r="N149" s="173">
        <v>21</v>
      </c>
    </row>
    <row r="150" spans="1:14" ht="12.75">
      <c r="A150" s="113" t="s">
        <v>148</v>
      </c>
      <c r="B150" s="114" t="s">
        <v>94</v>
      </c>
      <c r="C150" s="115"/>
      <c r="D150" s="131"/>
      <c r="E150" s="131"/>
      <c r="F150" s="131"/>
      <c r="G150" s="117">
        <v>20.631</v>
      </c>
      <c r="H150" s="173">
        <v>7.5490000000000004</v>
      </c>
      <c r="I150" s="173">
        <v>4.03</v>
      </c>
      <c r="J150" s="173"/>
      <c r="K150" s="173">
        <v>1.6</v>
      </c>
      <c r="L150" s="313">
        <v>1.3</v>
      </c>
      <c r="M150" s="173">
        <v>3.7</v>
      </c>
      <c r="N150" s="173">
        <v>3.7</v>
      </c>
    </row>
    <row r="151" spans="1:14" ht="12.75">
      <c r="A151" s="113" t="s">
        <v>149</v>
      </c>
      <c r="B151" s="114" t="s">
        <v>94</v>
      </c>
      <c r="C151" s="115"/>
      <c r="D151" s="131"/>
      <c r="E151" s="131"/>
      <c r="F151" s="131"/>
      <c r="G151" s="117">
        <v>13.289</v>
      </c>
      <c r="H151" s="173">
        <v>57.2</v>
      </c>
      <c r="I151" s="173">
        <f>I101-I129</f>
        <v>-48.843499999999949</v>
      </c>
      <c r="J151" s="173">
        <f t="shared" ref="J151:K151" si="26">J101-J129</f>
        <v>-6.0249999999999773</v>
      </c>
      <c r="K151" s="173">
        <f t="shared" si="26"/>
        <v>-2.2100000000000364</v>
      </c>
      <c r="L151" s="313">
        <f>L101-L129</f>
        <v>4.0000000000077307E-2</v>
      </c>
      <c r="M151" s="173">
        <f>M101-M129</f>
        <v>3.999999999996362E-2</v>
      </c>
      <c r="N151" s="173">
        <f>N101-N129</f>
        <v>8.9999999999918145E-2</v>
      </c>
    </row>
    <row r="152" spans="1:14" ht="12.75">
      <c r="A152" s="113" t="s">
        <v>150</v>
      </c>
      <c r="B152" s="114" t="s">
        <v>94</v>
      </c>
      <c r="C152" s="115"/>
      <c r="D152" s="131"/>
      <c r="E152" s="131"/>
      <c r="F152" s="131"/>
      <c r="G152" s="117">
        <v>0</v>
      </c>
      <c r="H152" s="173">
        <f>142/1000</f>
        <v>0.14199999999999999</v>
      </c>
      <c r="I152" s="173">
        <v>0</v>
      </c>
      <c r="J152" s="173">
        <v>0</v>
      </c>
      <c r="K152" s="173">
        <v>0</v>
      </c>
      <c r="L152" s="313">
        <v>0</v>
      </c>
      <c r="M152" s="173">
        <v>0</v>
      </c>
      <c r="N152" s="173">
        <v>1</v>
      </c>
    </row>
    <row r="153" spans="1:14" ht="28.5">
      <c r="A153" s="171" t="s">
        <v>151</v>
      </c>
      <c r="B153" s="134"/>
      <c r="C153" s="115"/>
      <c r="D153" s="131"/>
      <c r="E153" s="131"/>
      <c r="F153" s="131"/>
      <c r="G153" s="177"/>
      <c r="H153" s="173"/>
      <c r="I153" s="173"/>
      <c r="J153" s="173"/>
      <c r="K153" s="173"/>
      <c r="L153" s="313"/>
      <c r="M153" s="173"/>
      <c r="N153" s="111"/>
    </row>
    <row r="154" spans="1:14" ht="12.75">
      <c r="A154" s="151" t="s">
        <v>152</v>
      </c>
      <c r="B154" s="114" t="s">
        <v>94</v>
      </c>
      <c r="C154" s="115">
        <v>1</v>
      </c>
      <c r="D154" s="131"/>
      <c r="E154" s="131"/>
      <c r="F154" s="131"/>
      <c r="G154" s="117">
        <f t="shared" ref="G154:H154" si="27">G156+G157+G158+G162+G163</f>
        <v>7231.19</v>
      </c>
      <c r="H154" s="173">
        <f t="shared" si="27"/>
        <v>7687.9</v>
      </c>
      <c r="I154" s="173">
        <f t="shared" ref="I154:N154" si="28">I156+I157+I158+I162+I163</f>
        <v>8113.5250000000005</v>
      </c>
      <c r="J154" s="173">
        <f t="shared" si="28"/>
        <v>8385.5712500000009</v>
      </c>
      <c r="K154" s="173">
        <f t="shared" si="28"/>
        <v>8804.8498125000006</v>
      </c>
      <c r="L154" s="313">
        <f t="shared" si="28"/>
        <v>9245.0923031250022</v>
      </c>
      <c r="M154" s="173">
        <f t="shared" si="28"/>
        <v>9707.3469182812514</v>
      </c>
      <c r="N154" s="173">
        <f t="shared" si="28"/>
        <v>10192.714264195316</v>
      </c>
    </row>
    <row r="155" spans="1:14" ht="12.75">
      <c r="A155" s="113" t="s">
        <v>31</v>
      </c>
      <c r="B155" s="114"/>
      <c r="C155" s="115"/>
      <c r="D155" s="131"/>
      <c r="E155" s="131"/>
      <c r="F155" s="131"/>
      <c r="G155" s="117"/>
      <c r="H155" s="173"/>
      <c r="I155" s="173"/>
      <c r="J155" s="173"/>
      <c r="K155" s="173"/>
      <c r="L155" s="313"/>
      <c r="M155" s="177"/>
      <c r="N155" s="111"/>
    </row>
    <row r="156" spans="1:14" ht="12.75">
      <c r="A156" s="136" t="s">
        <v>153</v>
      </c>
      <c r="B156" s="114" t="s">
        <v>94</v>
      </c>
      <c r="C156" s="115">
        <v>1</v>
      </c>
      <c r="D156" s="131"/>
      <c r="E156" s="131"/>
      <c r="F156" s="131"/>
      <c r="G156" s="117">
        <v>5007.3</v>
      </c>
      <c r="H156" s="173">
        <v>4274.8999999999996</v>
      </c>
      <c r="I156" s="173">
        <v>5040.8450000000003</v>
      </c>
      <c r="J156" s="173">
        <f>I156*1.05</f>
        <v>5292.8872500000007</v>
      </c>
      <c r="K156" s="173">
        <f>J156*1.05</f>
        <v>5557.5316125000008</v>
      </c>
      <c r="L156" s="313">
        <f>K156*1.05</f>
        <v>5835.4081931250012</v>
      </c>
      <c r="M156" s="173">
        <f>L156*1.05</f>
        <v>6127.1786027812514</v>
      </c>
      <c r="N156" s="173">
        <f>M156*1.05</f>
        <v>6433.5375329203143</v>
      </c>
    </row>
    <row r="157" spans="1:14" ht="12.75">
      <c r="A157" s="136" t="s">
        <v>154</v>
      </c>
      <c r="B157" s="114" t="s">
        <v>94</v>
      </c>
      <c r="C157" s="115">
        <v>1</v>
      </c>
      <c r="D157" s="131"/>
      <c r="E157" s="131"/>
      <c r="F157" s="131"/>
      <c r="G157" s="117">
        <v>422.3</v>
      </c>
      <c r="H157" s="173">
        <v>885</v>
      </c>
      <c r="I157" s="173">
        <v>660.6</v>
      </c>
      <c r="J157" s="173">
        <v>560</v>
      </c>
      <c r="K157" s="173">
        <f t="shared" ref="K157:N164" si="29">J157*1.05</f>
        <v>588</v>
      </c>
      <c r="L157" s="313">
        <f t="shared" si="29"/>
        <v>617.4</v>
      </c>
      <c r="M157" s="173">
        <f t="shared" si="29"/>
        <v>648.27</v>
      </c>
      <c r="N157" s="173">
        <f t="shared" si="29"/>
        <v>680.68349999999998</v>
      </c>
    </row>
    <row r="158" spans="1:14" ht="12.75">
      <c r="A158" s="136" t="s">
        <v>155</v>
      </c>
      <c r="B158" s="114" t="s">
        <v>94</v>
      </c>
      <c r="C158" s="115">
        <v>1</v>
      </c>
      <c r="D158" s="131"/>
      <c r="E158" s="131"/>
      <c r="F158" s="131"/>
      <c r="G158" s="117">
        <v>1529.4</v>
      </c>
      <c r="H158" s="173">
        <v>2178.1999999999998</v>
      </c>
      <c r="I158" s="173">
        <v>2302.08</v>
      </c>
      <c r="J158" s="173">
        <f t="shared" ref="J158:J163" si="30">I158*1.05</f>
        <v>2417.1840000000002</v>
      </c>
      <c r="K158" s="173">
        <f t="shared" si="29"/>
        <v>2538.0432000000005</v>
      </c>
      <c r="L158" s="313">
        <f t="shared" si="29"/>
        <v>2664.9453600000006</v>
      </c>
      <c r="M158" s="173">
        <f t="shared" si="29"/>
        <v>2798.1926280000007</v>
      </c>
      <c r="N158" s="173">
        <f t="shared" si="29"/>
        <v>2938.102259400001</v>
      </c>
    </row>
    <row r="159" spans="1:14" ht="12.75">
      <c r="A159" s="166" t="s">
        <v>156</v>
      </c>
      <c r="B159" s="114" t="s">
        <v>94</v>
      </c>
      <c r="C159" s="115">
        <v>1</v>
      </c>
      <c r="D159" s="131"/>
      <c r="E159" s="131"/>
      <c r="F159" s="131"/>
      <c r="G159" s="117">
        <v>1241.5</v>
      </c>
      <c r="H159" s="173">
        <v>1673.8</v>
      </c>
      <c r="I159" s="173">
        <v>1953.22</v>
      </c>
      <c r="J159" s="300">
        <f>I159+280</f>
        <v>2233.2200000000003</v>
      </c>
      <c r="K159" s="173">
        <f t="shared" si="29"/>
        <v>2344.8810000000003</v>
      </c>
      <c r="L159" s="313">
        <f t="shared" si="29"/>
        <v>2462.1250500000006</v>
      </c>
      <c r="M159" s="173">
        <f t="shared" si="29"/>
        <v>2585.2313025000008</v>
      </c>
      <c r="N159" s="173">
        <f t="shared" si="29"/>
        <v>2714.4928676250011</v>
      </c>
    </row>
    <row r="160" spans="1:14" ht="12.75">
      <c r="A160" s="166" t="s">
        <v>157</v>
      </c>
      <c r="B160" s="114" t="s">
        <v>94</v>
      </c>
      <c r="C160" s="115">
        <v>1</v>
      </c>
      <c r="D160" s="131"/>
      <c r="E160" s="131"/>
      <c r="F160" s="131"/>
      <c r="G160" s="117">
        <v>287.89999999999998</v>
      </c>
      <c r="H160" s="173">
        <v>504.3</v>
      </c>
      <c r="I160" s="173">
        <v>348.86</v>
      </c>
      <c r="J160" s="173">
        <f t="shared" si="30"/>
        <v>366.30300000000005</v>
      </c>
      <c r="K160" s="173">
        <f t="shared" si="29"/>
        <v>384.61815000000007</v>
      </c>
      <c r="L160" s="313">
        <f t="shared" si="29"/>
        <v>403.84905750000007</v>
      </c>
      <c r="M160" s="173">
        <f t="shared" si="29"/>
        <v>424.04151037500009</v>
      </c>
      <c r="N160" s="173">
        <f t="shared" si="29"/>
        <v>445.24358589375009</v>
      </c>
    </row>
    <row r="161" spans="1:15" ht="12.75">
      <c r="A161" s="166" t="s">
        <v>158</v>
      </c>
      <c r="B161" s="114" t="s">
        <v>94</v>
      </c>
      <c r="C161" s="115">
        <v>1</v>
      </c>
      <c r="D161" s="131"/>
      <c r="E161" s="131"/>
      <c r="F161" s="131"/>
      <c r="G161" s="117"/>
      <c r="H161" s="173">
        <v>0</v>
      </c>
      <c r="I161" s="173">
        <v>0</v>
      </c>
      <c r="J161" s="173">
        <f t="shared" si="30"/>
        <v>0</v>
      </c>
      <c r="K161" s="173">
        <f t="shared" si="29"/>
        <v>0</v>
      </c>
      <c r="L161" s="313">
        <f t="shared" si="29"/>
        <v>0</v>
      </c>
      <c r="M161" s="173">
        <f t="shared" si="29"/>
        <v>0</v>
      </c>
      <c r="N161" s="173">
        <f t="shared" si="29"/>
        <v>0</v>
      </c>
    </row>
    <row r="162" spans="1:15" ht="12.75">
      <c r="A162" s="136" t="s">
        <v>159</v>
      </c>
      <c r="B162" s="114" t="s">
        <v>94</v>
      </c>
      <c r="C162" s="115">
        <v>1</v>
      </c>
      <c r="D162" s="131"/>
      <c r="E162" s="131"/>
      <c r="F162" s="131"/>
      <c r="G162" s="117">
        <v>25.08</v>
      </c>
      <c r="H162" s="173">
        <v>82.6</v>
      </c>
      <c r="I162" s="173"/>
      <c r="J162" s="173">
        <f t="shared" si="30"/>
        <v>0</v>
      </c>
      <c r="K162" s="173">
        <f t="shared" si="29"/>
        <v>0</v>
      </c>
      <c r="L162" s="313">
        <f t="shared" si="29"/>
        <v>0</v>
      </c>
      <c r="M162" s="173">
        <f t="shared" si="29"/>
        <v>0</v>
      </c>
      <c r="N162" s="173">
        <f t="shared" si="29"/>
        <v>0</v>
      </c>
    </row>
    <row r="163" spans="1:15" ht="12.75">
      <c r="A163" s="136" t="s">
        <v>160</v>
      </c>
      <c r="B163" s="114" t="s">
        <v>94</v>
      </c>
      <c r="C163" s="115">
        <v>1</v>
      </c>
      <c r="D163" s="131"/>
      <c r="E163" s="131"/>
      <c r="F163" s="131"/>
      <c r="G163" s="117">
        <f>0.92+109.47+136.72</f>
        <v>247.11</v>
      </c>
      <c r="H163" s="173">
        <f>2.7+127+137.5</f>
        <v>267.2</v>
      </c>
      <c r="I163" s="173">
        <v>110</v>
      </c>
      <c r="J163" s="173">
        <f t="shared" si="30"/>
        <v>115.5</v>
      </c>
      <c r="K163" s="173">
        <f t="shared" si="29"/>
        <v>121.27500000000001</v>
      </c>
      <c r="L163" s="313">
        <f t="shared" si="29"/>
        <v>127.33875</v>
      </c>
      <c r="M163" s="173">
        <f t="shared" si="29"/>
        <v>133.70568750000001</v>
      </c>
      <c r="N163" s="173">
        <f t="shared" si="29"/>
        <v>140.39097187500002</v>
      </c>
    </row>
    <row r="164" spans="1:15" ht="12.75">
      <c r="A164" s="113" t="s">
        <v>161</v>
      </c>
      <c r="B164" s="114" t="s">
        <v>162</v>
      </c>
      <c r="C164" s="115">
        <v>1</v>
      </c>
      <c r="D164" s="131"/>
      <c r="E164" s="131"/>
      <c r="F164" s="131"/>
      <c r="G164" s="117">
        <f>G154/G6/12*1000</f>
        <v>9552.9354259141837</v>
      </c>
      <c r="H164" s="173">
        <v>8752.17</v>
      </c>
      <c r="I164" s="173">
        <v>9649.267425</v>
      </c>
      <c r="J164" s="173">
        <v>10132</v>
      </c>
      <c r="K164" s="173">
        <f t="shared" si="29"/>
        <v>10638.6</v>
      </c>
      <c r="L164" s="313">
        <f t="shared" si="29"/>
        <v>11170.53</v>
      </c>
      <c r="M164" s="173">
        <f t="shared" si="29"/>
        <v>11729.056500000001</v>
      </c>
      <c r="N164" s="173">
        <f t="shared" si="29"/>
        <v>12315.509325000001</v>
      </c>
    </row>
    <row r="165" spans="1:15" ht="12.75">
      <c r="A165" s="151" t="s">
        <v>163</v>
      </c>
      <c r="B165" s="114" t="s">
        <v>94</v>
      </c>
      <c r="C165" s="115">
        <v>1</v>
      </c>
      <c r="D165" s="131"/>
      <c r="E165" s="131"/>
      <c r="F165" s="131"/>
      <c r="G165" s="117">
        <f t="shared" ref="G165:H165" si="31">G167+G169+G170</f>
        <v>6914.0800000000008</v>
      </c>
      <c r="H165" s="173">
        <f t="shared" si="31"/>
        <v>7745.119999999999</v>
      </c>
      <c r="I165" s="173">
        <f t="shared" ref="I165:N165" si="32">I167+I169+I170</f>
        <v>8156.33</v>
      </c>
      <c r="J165" s="173">
        <f t="shared" si="32"/>
        <v>8564.1465000000007</v>
      </c>
      <c r="K165" s="173">
        <f t="shared" si="32"/>
        <v>8992.3538250000001</v>
      </c>
      <c r="L165" s="313">
        <f t="shared" si="32"/>
        <v>9441.9715162500015</v>
      </c>
      <c r="M165" s="173">
        <f t="shared" si="32"/>
        <v>9914.0700920625004</v>
      </c>
      <c r="N165" s="173">
        <f t="shared" si="32"/>
        <v>10409.773596665627</v>
      </c>
    </row>
    <row r="166" spans="1:15" ht="12.75">
      <c r="A166" s="113" t="s">
        <v>31</v>
      </c>
      <c r="B166" s="114" t="s">
        <v>164</v>
      </c>
      <c r="C166" s="115"/>
      <c r="D166" s="131"/>
      <c r="E166" s="131"/>
      <c r="F166" s="131"/>
      <c r="G166" s="117"/>
      <c r="H166" s="173">
        <v>0</v>
      </c>
      <c r="I166" s="173">
        <v>0</v>
      </c>
      <c r="J166" s="173">
        <f>I166*1.05</f>
        <v>0</v>
      </c>
      <c r="K166" s="173">
        <f t="shared" ref="K166:N169" si="33">J166*1.05</f>
        <v>0</v>
      </c>
      <c r="L166" s="313">
        <f t="shared" si="33"/>
        <v>0</v>
      </c>
      <c r="M166" s="173">
        <f t="shared" si="33"/>
        <v>0</v>
      </c>
      <c r="N166" s="111"/>
      <c r="O166" s="167"/>
    </row>
    <row r="167" spans="1:15" ht="12.75">
      <c r="A167" s="136" t="s">
        <v>165</v>
      </c>
      <c r="B167" s="114" t="s">
        <v>94</v>
      </c>
      <c r="C167" s="115">
        <v>1</v>
      </c>
      <c r="D167" s="131"/>
      <c r="E167" s="131"/>
      <c r="F167" s="131"/>
      <c r="G167" s="117">
        <f>6143.1+521.18</f>
        <v>6664.2800000000007</v>
      </c>
      <c r="H167" s="173">
        <v>4841.74</v>
      </c>
      <c r="I167" s="173">
        <v>5785.65</v>
      </c>
      <c r="J167" s="173">
        <f>I167*1.05</f>
        <v>6074.9324999999999</v>
      </c>
      <c r="K167" s="173">
        <f t="shared" si="33"/>
        <v>6378.6791250000006</v>
      </c>
      <c r="L167" s="313">
        <f t="shared" si="33"/>
        <v>6697.6130812500005</v>
      </c>
      <c r="M167" s="173">
        <f t="shared" si="33"/>
        <v>7032.4937353125006</v>
      </c>
      <c r="N167" s="173">
        <f t="shared" si="33"/>
        <v>7384.1184220781261</v>
      </c>
    </row>
    <row r="168" spans="1:15" ht="12.75">
      <c r="A168" s="166" t="s">
        <v>166</v>
      </c>
      <c r="B168" s="114" t="s">
        <v>94</v>
      </c>
      <c r="C168" s="115">
        <v>1</v>
      </c>
      <c r="D168" s="131"/>
      <c r="E168" s="131"/>
      <c r="F168" s="131"/>
      <c r="G168" s="117"/>
      <c r="H168" s="173">
        <v>4167.8</v>
      </c>
      <c r="I168" s="173">
        <v>5010.63</v>
      </c>
      <c r="J168" s="173">
        <f>I168*1.05</f>
        <v>5261.1615000000002</v>
      </c>
      <c r="K168" s="173">
        <f t="shared" si="33"/>
        <v>5524.2195750000001</v>
      </c>
      <c r="L168" s="313">
        <f t="shared" si="33"/>
        <v>5800.4305537500004</v>
      </c>
      <c r="M168" s="173">
        <f t="shared" si="33"/>
        <v>6090.452081437501</v>
      </c>
      <c r="N168" s="173">
        <f t="shared" si="33"/>
        <v>6394.9746855093763</v>
      </c>
    </row>
    <row r="169" spans="1:15" ht="12.75">
      <c r="A169" s="136" t="s">
        <v>167</v>
      </c>
      <c r="B169" s="114" t="s">
        <v>94</v>
      </c>
      <c r="C169" s="115">
        <v>1</v>
      </c>
      <c r="D169" s="131"/>
      <c r="E169" s="131"/>
      <c r="F169" s="131"/>
      <c r="G169" s="117">
        <v>64.17</v>
      </c>
      <c r="H169" s="173">
        <v>92.98</v>
      </c>
      <c r="I169" s="173">
        <v>90.12</v>
      </c>
      <c r="J169" s="173">
        <f>I169*1.05</f>
        <v>94.626000000000005</v>
      </c>
      <c r="K169" s="173">
        <f t="shared" si="33"/>
        <v>99.357300000000009</v>
      </c>
      <c r="L169" s="313">
        <f t="shared" si="33"/>
        <v>104.32516500000001</v>
      </c>
      <c r="M169" s="173">
        <f t="shared" si="33"/>
        <v>109.54142325000002</v>
      </c>
      <c r="N169" s="173">
        <f t="shared" si="33"/>
        <v>115.01849441250003</v>
      </c>
    </row>
    <row r="170" spans="1:15" ht="12.75">
      <c r="A170" s="136" t="s">
        <v>168</v>
      </c>
      <c r="B170" s="114" t="s">
        <v>94</v>
      </c>
      <c r="C170" s="115">
        <v>1</v>
      </c>
      <c r="D170" s="131"/>
      <c r="E170" s="131"/>
      <c r="F170" s="131"/>
      <c r="G170" s="117">
        <f>65+1.2+117.93+1.5</f>
        <v>185.63</v>
      </c>
      <c r="H170" s="173">
        <v>2810.4</v>
      </c>
      <c r="I170" s="173">
        <f>1785+317.42+178.14</f>
        <v>2280.56</v>
      </c>
      <c r="J170" s="173">
        <f>I170*1.05</f>
        <v>2394.5880000000002</v>
      </c>
      <c r="K170" s="173">
        <f>J170*1.05</f>
        <v>2514.3174000000004</v>
      </c>
      <c r="L170" s="313">
        <f>K170*1.05</f>
        <v>2640.0332700000004</v>
      </c>
      <c r="M170" s="173">
        <f>L170*1.05</f>
        <v>2772.0349335000005</v>
      </c>
      <c r="N170" s="173">
        <f>M170*1.05</f>
        <v>2910.6366801750005</v>
      </c>
    </row>
    <row r="171" spans="1:15" ht="21">
      <c r="A171" s="136" t="s">
        <v>169</v>
      </c>
      <c r="B171" s="114" t="s">
        <v>94</v>
      </c>
      <c r="C171" s="115">
        <v>1</v>
      </c>
      <c r="D171" s="131"/>
      <c r="E171" s="131"/>
      <c r="F171" s="131"/>
      <c r="G171" s="117">
        <f>G154-G165</f>
        <v>317.10999999999876</v>
      </c>
      <c r="H171" s="173">
        <f t="shared" ref="H171:M171" si="34">H154-H165</f>
        <v>-57.219999999999345</v>
      </c>
      <c r="I171" s="173">
        <f t="shared" si="34"/>
        <v>-42.804999999999382</v>
      </c>
      <c r="J171" s="173">
        <f>J154-J165</f>
        <v>-178.57524999999987</v>
      </c>
      <c r="K171" s="173">
        <f t="shared" si="34"/>
        <v>-187.50401249999959</v>
      </c>
      <c r="L171" s="313">
        <f t="shared" si="34"/>
        <v>-196.8792131249993</v>
      </c>
      <c r="M171" s="173">
        <f t="shared" si="34"/>
        <v>-206.72317378124899</v>
      </c>
      <c r="N171" s="173">
        <f>N154-N165</f>
        <v>-217.05933247031135</v>
      </c>
    </row>
    <row r="172" spans="1:15" ht="31.5">
      <c r="A172" s="113" t="s">
        <v>170</v>
      </c>
      <c r="B172" s="114" t="s">
        <v>171</v>
      </c>
      <c r="C172" s="115">
        <v>1</v>
      </c>
      <c r="D172" s="178"/>
      <c r="E172" s="131"/>
      <c r="F172" s="131"/>
      <c r="G172" s="117">
        <v>6374.6</v>
      </c>
      <c r="H172" s="173">
        <v>8319.15</v>
      </c>
      <c r="I172" s="173">
        <v>9510</v>
      </c>
      <c r="J172" s="173">
        <f>I172+350</f>
        <v>9860</v>
      </c>
      <c r="K172" s="173">
        <f>J172+360</f>
        <v>10220</v>
      </c>
      <c r="L172" s="313">
        <f>K172+360</f>
        <v>10580</v>
      </c>
      <c r="M172" s="173">
        <f>L172+360</f>
        <v>10940</v>
      </c>
      <c r="N172" s="173">
        <f>M172+360</f>
        <v>11300</v>
      </c>
    </row>
    <row r="173" spans="1:15" ht="14.25">
      <c r="A173" s="124" t="s">
        <v>172</v>
      </c>
      <c r="B173" s="134"/>
      <c r="C173" s="115"/>
      <c r="D173" s="131"/>
      <c r="E173" s="131"/>
      <c r="F173" s="131"/>
      <c r="G173" s="117"/>
      <c r="H173" s="173"/>
      <c r="I173" s="173"/>
      <c r="J173" s="173"/>
      <c r="K173" s="173"/>
      <c r="L173" s="313"/>
      <c r="M173" s="173"/>
      <c r="N173" s="317"/>
    </row>
    <row r="174" spans="1:15" ht="12.75">
      <c r="A174" s="113" t="s">
        <v>173</v>
      </c>
      <c r="B174" s="114" t="s">
        <v>13</v>
      </c>
      <c r="C174" s="115">
        <v>1</v>
      </c>
      <c r="D174" s="131"/>
      <c r="E174" s="131"/>
      <c r="F174" s="131"/>
      <c r="G174" s="117">
        <v>37.08</v>
      </c>
      <c r="H174" s="173">
        <v>34.130000000000003</v>
      </c>
      <c r="I174" s="173">
        <v>34.33</v>
      </c>
      <c r="J174" s="173">
        <v>34.33</v>
      </c>
      <c r="K174" s="173">
        <v>34.33</v>
      </c>
      <c r="L174" s="313">
        <v>34.33</v>
      </c>
      <c r="M174" s="173">
        <v>34.33</v>
      </c>
      <c r="N174" s="173">
        <v>34.33</v>
      </c>
    </row>
    <row r="175" spans="1:15" ht="21">
      <c r="A175" s="151" t="s">
        <v>174</v>
      </c>
      <c r="B175" s="114" t="s">
        <v>13</v>
      </c>
      <c r="C175" s="115">
        <v>1</v>
      </c>
      <c r="D175" s="131"/>
      <c r="E175" s="131"/>
      <c r="F175" s="131"/>
      <c r="G175" s="117">
        <v>32.790999999999997</v>
      </c>
      <c r="H175" s="173">
        <v>29.12</v>
      </c>
      <c r="I175" s="173">
        <v>31.027999999999999</v>
      </c>
      <c r="J175" s="173">
        <v>31.027999999999999</v>
      </c>
      <c r="K175" s="173">
        <v>31.027999999999999</v>
      </c>
      <c r="L175" s="313">
        <v>31.027999999999999</v>
      </c>
      <c r="M175" s="173">
        <v>31.027999999999999</v>
      </c>
      <c r="N175" s="173">
        <v>31.027999999999999</v>
      </c>
    </row>
    <row r="176" spans="1:15" ht="21">
      <c r="A176" s="113" t="s">
        <v>175</v>
      </c>
      <c r="B176" s="114" t="s">
        <v>164</v>
      </c>
      <c r="C176" s="115"/>
      <c r="D176" s="131"/>
      <c r="E176" s="131"/>
      <c r="F176" s="131"/>
      <c r="G176" s="117"/>
      <c r="H176" s="173"/>
      <c r="I176" s="173"/>
      <c r="J176" s="173"/>
      <c r="K176" s="173"/>
      <c r="L176" s="313"/>
      <c r="M176" s="173"/>
      <c r="N176" s="173"/>
    </row>
    <row r="177" spans="1:15" ht="21">
      <c r="A177" s="136" t="s">
        <v>176</v>
      </c>
      <c r="B177" s="114" t="s">
        <v>13</v>
      </c>
      <c r="C177" s="115">
        <v>1</v>
      </c>
      <c r="D177" s="131"/>
      <c r="E177" s="131"/>
      <c r="F177" s="131"/>
      <c r="G177" s="117">
        <v>3.21</v>
      </c>
      <c r="H177" s="173">
        <v>2.73</v>
      </c>
      <c r="I177" s="173">
        <f>(230+2223+582)/1000</f>
        <v>3.0350000000000001</v>
      </c>
      <c r="J177" s="173">
        <f t="shared" ref="J177:N177" si="35">(230+2223+582)/1000</f>
        <v>3.0350000000000001</v>
      </c>
      <c r="K177" s="173">
        <f t="shared" si="35"/>
        <v>3.0350000000000001</v>
      </c>
      <c r="L177" s="313">
        <f t="shared" si="35"/>
        <v>3.0350000000000001</v>
      </c>
      <c r="M177" s="173">
        <f t="shared" si="35"/>
        <v>3.0350000000000001</v>
      </c>
      <c r="N177" s="173">
        <f t="shared" si="35"/>
        <v>3.0350000000000001</v>
      </c>
    </row>
    <row r="178" spans="1:15" ht="12.75">
      <c r="A178" s="136" t="s">
        <v>177</v>
      </c>
      <c r="B178" s="114" t="s">
        <v>13</v>
      </c>
      <c r="C178" s="115">
        <v>1</v>
      </c>
      <c r="D178" s="131"/>
      <c r="E178" s="131"/>
      <c r="F178" s="131"/>
      <c r="G178" s="117"/>
      <c r="H178" s="173"/>
      <c r="I178" s="173"/>
      <c r="J178" s="173"/>
      <c r="K178" s="173"/>
      <c r="L178" s="313"/>
      <c r="M178" s="173"/>
      <c r="N178" s="173"/>
    </row>
    <row r="179" spans="1:15" ht="21">
      <c r="A179" s="136" t="s">
        <v>178</v>
      </c>
      <c r="B179" s="114" t="s">
        <v>13</v>
      </c>
      <c r="C179" s="115">
        <v>1</v>
      </c>
      <c r="D179" s="131"/>
      <c r="E179" s="131"/>
      <c r="F179" s="131"/>
      <c r="G179" s="117">
        <f>4029/1000</f>
        <v>4.0289999999999999</v>
      </c>
      <c r="H179" s="173">
        <f t="shared" ref="H179:N179" si="36">(560+672)/1000</f>
        <v>1.232</v>
      </c>
      <c r="I179" s="173">
        <f t="shared" si="36"/>
        <v>1.232</v>
      </c>
      <c r="J179" s="173">
        <f t="shared" si="36"/>
        <v>1.232</v>
      </c>
      <c r="K179" s="173">
        <f t="shared" si="36"/>
        <v>1.232</v>
      </c>
      <c r="L179" s="313">
        <f t="shared" si="36"/>
        <v>1.232</v>
      </c>
      <c r="M179" s="173">
        <f t="shared" si="36"/>
        <v>1.232</v>
      </c>
      <c r="N179" s="173">
        <f t="shared" si="36"/>
        <v>1.232</v>
      </c>
    </row>
    <row r="180" spans="1:15" ht="12.75">
      <c r="A180" s="136" t="s">
        <v>179</v>
      </c>
      <c r="B180" s="114" t="s">
        <v>13</v>
      </c>
      <c r="C180" s="115">
        <v>1</v>
      </c>
      <c r="D180" s="131"/>
      <c r="E180" s="131"/>
      <c r="F180" s="131"/>
      <c r="G180" s="117"/>
      <c r="H180" s="173"/>
      <c r="I180" s="173"/>
      <c r="J180" s="173"/>
      <c r="K180" s="173"/>
      <c r="L180" s="313"/>
      <c r="M180" s="173"/>
      <c r="N180" s="173"/>
      <c r="O180" s="179"/>
    </row>
    <row r="181" spans="1:15" ht="15">
      <c r="A181" s="136" t="s">
        <v>180</v>
      </c>
      <c r="B181" s="114" t="s">
        <v>13</v>
      </c>
      <c r="C181" s="115">
        <v>1</v>
      </c>
      <c r="D181" s="131"/>
      <c r="E181" s="131"/>
      <c r="F181" s="131"/>
      <c r="G181" s="117">
        <v>15.8</v>
      </c>
      <c r="H181" s="173">
        <v>18.47</v>
      </c>
      <c r="I181" s="173">
        <v>15.8</v>
      </c>
      <c r="J181" s="173">
        <v>15.8</v>
      </c>
      <c r="K181" s="173">
        <v>15.8</v>
      </c>
      <c r="L181" s="313">
        <v>15.8</v>
      </c>
      <c r="M181" s="173">
        <v>15.8</v>
      </c>
      <c r="N181" s="173">
        <v>15.8</v>
      </c>
      <c r="O181" s="180"/>
    </row>
    <row r="182" spans="1:15" ht="15">
      <c r="A182" s="136" t="s">
        <v>181</v>
      </c>
      <c r="B182" s="114" t="s">
        <v>164</v>
      </c>
      <c r="C182" s="115">
        <v>1</v>
      </c>
      <c r="D182" s="131"/>
      <c r="E182" s="131"/>
      <c r="F182" s="131"/>
      <c r="G182" s="117"/>
      <c r="H182" s="173"/>
      <c r="I182" s="173"/>
      <c r="J182" s="173"/>
      <c r="K182" s="173"/>
      <c r="L182" s="313"/>
      <c r="M182" s="173"/>
      <c r="N182" s="173"/>
      <c r="O182" s="180"/>
    </row>
    <row r="183" spans="1:15" ht="21">
      <c r="A183" s="166" t="s">
        <v>182</v>
      </c>
      <c r="B183" s="114" t="s">
        <v>13</v>
      </c>
      <c r="C183" s="115">
        <v>1</v>
      </c>
      <c r="D183" s="131"/>
      <c r="E183" s="131"/>
      <c r="F183" s="131"/>
      <c r="G183" s="117">
        <v>0.16</v>
      </c>
      <c r="H183" s="173">
        <v>0.16800000000000001</v>
      </c>
      <c r="I183" s="173">
        <v>0.16</v>
      </c>
      <c r="J183" s="173">
        <v>0.16</v>
      </c>
      <c r="K183" s="173">
        <v>0.16</v>
      </c>
      <c r="L183" s="313">
        <v>0.16</v>
      </c>
      <c r="M183" s="173">
        <v>0.16</v>
      </c>
      <c r="N183" s="173">
        <v>0.16</v>
      </c>
      <c r="O183" s="180"/>
    </row>
    <row r="184" spans="1:15" ht="15">
      <c r="A184" s="166" t="s">
        <v>183</v>
      </c>
      <c r="B184" s="114" t="s">
        <v>13</v>
      </c>
      <c r="C184" s="115">
        <v>1</v>
      </c>
      <c r="D184" s="131"/>
      <c r="E184" s="131"/>
      <c r="F184" s="131"/>
      <c r="G184" s="117"/>
      <c r="H184" s="173">
        <f>H181-H185-H183</f>
        <v>2.501999999999998</v>
      </c>
      <c r="I184" s="173"/>
      <c r="J184" s="173"/>
      <c r="K184" s="173"/>
      <c r="L184" s="313"/>
      <c r="M184" s="173"/>
      <c r="N184" s="173"/>
      <c r="O184" s="181"/>
    </row>
    <row r="185" spans="1:15" ht="42">
      <c r="A185" s="166" t="s">
        <v>184</v>
      </c>
      <c r="B185" s="114" t="s">
        <v>13</v>
      </c>
      <c r="C185" s="115">
        <v>1</v>
      </c>
      <c r="D185" s="131"/>
      <c r="E185" s="131"/>
      <c r="F185" s="131"/>
      <c r="G185" s="117">
        <f>G181-G183</f>
        <v>15.64</v>
      </c>
      <c r="H185" s="173">
        <v>15.8</v>
      </c>
      <c r="I185" s="173">
        <v>15.64</v>
      </c>
      <c r="J185" s="173">
        <v>15.64</v>
      </c>
      <c r="K185" s="173">
        <v>15.64</v>
      </c>
      <c r="L185" s="313">
        <v>15.64</v>
      </c>
      <c r="M185" s="173">
        <v>15.64</v>
      </c>
      <c r="N185" s="173">
        <v>15.64</v>
      </c>
      <c r="O185" s="181"/>
    </row>
    <row r="186" spans="1:15" ht="21">
      <c r="A186" s="113" t="s">
        <v>185</v>
      </c>
      <c r="B186" s="114" t="s">
        <v>13</v>
      </c>
      <c r="C186" s="115">
        <v>1</v>
      </c>
      <c r="D186" s="131"/>
      <c r="E186" s="131"/>
      <c r="F186" s="131"/>
      <c r="G186" s="117">
        <v>0.92</v>
      </c>
      <c r="H186" s="173">
        <v>1.74</v>
      </c>
      <c r="I186" s="173">
        <v>1.7</v>
      </c>
      <c r="J186" s="173">
        <v>1.7</v>
      </c>
      <c r="K186" s="173">
        <v>1.7</v>
      </c>
      <c r="L186" s="313">
        <v>1.7</v>
      </c>
      <c r="M186" s="173">
        <v>1.7</v>
      </c>
      <c r="N186" s="173">
        <v>1.7</v>
      </c>
    </row>
    <row r="187" spans="1:15" ht="31.5" customHeight="1">
      <c r="A187" s="113" t="s">
        <v>186</v>
      </c>
      <c r="B187" s="114" t="s">
        <v>13</v>
      </c>
      <c r="C187" s="115">
        <v>1</v>
      </c>
      <c r="D187" s="131"/>
      <c r="E187" s="131"/>
      <c r="F187" s="131"/>
      <c r="G187" s="117">
        <v>3.7</v>
      </c>
      <c r="H187" s="173">
        <f t="shared" ref="H187:N187" si="37">66.58</f>
        <v>66.58</v>
      </c>
      <c r="I187" s="173">
        <f t="shared" si="37"/>
        <v>66.58</v>
      </c>
      <c r="J187" s="173">
        <f t="shared" si="37"/>
        <v>66.58</v>
      </c>
      <c r="K187" s="173">
        <f t="shared" si="37"/>
        <v>66.58</v>
      </c>
      <c r="L187" s="313">
        <f t="shared" si="37"/>
        <v>66.58</v>
      </c>
      <c r="M187" s="173">
        <f t="shared" si="37"/>
        <v>66.58</v>
      </c>
      <c r="N187" s="173">
        <f t="shared" si="37"/>
        <v>66.58</v>
      </c>
    </row>
    <row r="188" spans="1:15" ht="12.75">
      <c r="A188" s="113" t="s">
        <v>187</v>
      </c>
      <c r="B188" s="114" t="s">
        <v>188</v>
      </c>
      <c r="C188" s="115">
        <v>1</v>
      </c>
      <c r="D188" s="131"/>
      <c r="E188" s="131"/>
      <c r="F188" s="131"/>
      <c r="G188" s="117">
        <v>9.02</v>
      </c>
      <c r="H188" s="173">
        <v>10.1</v>
      </c>
      <c r="I188" s="173">
        <v>8.9</v>
      </c>
      <c r="J188" s="173">
        <v>8.9</v>
      </c>
      <c r="K188" s="173">
        <v>8.9</v>
      </c>
      <c r="L188" s="313">
        <v>8.9</v>
      </c>
      <c r="M188" s="173">
        <v>8.9</v>
      </c>
      <c r="N188" s="173">
        <v>8.9</v>
      </c>
    </row>
    <row r="189" spans="1:15" ht="12.75">
      <c r="A189" s="113" t="s">
        <v>189</v>
      </c>
      <c r="B189" s="114" t="s">
        <v>188</v>
      </c>
      <c r="C189" s="115">
        <v>1</v>
      </c>
      <c r="D189" s="131"/>
      <c r="E189" s="131"/>
      <c r="F189" s="131"/>
      <c r="G189" s="117">
        <v>2.75</v>
      </c>
      <c r="H189" s="173">
        <v>2.4300000000000002</v>
      </c>
      <c r="I189" s="173">
        <v>2.4</v>
      </c>
      <c r="J189" s="173">
        <v>2.4</v>
      </c>
      <c r="K189" s="173">
        <v>2.4</v>
      </c>
      <c r="L189" s="313">
        <v>2.4</v>
      </c>
      <c r="M189" s="173">
        <v>2.4</v>
      </c>
      <c r="N189" s="173">
        <v>2.4</v>
      </c>
    </row>
    <row r="190" spans="1:15" ht="12.75">
      <c r="A190" s="113" t="s">
        <v>190</v>
      </c>
      <c r="B190" s="114" t="s">
        <v>13</v>
      </c>
      <c r="C190" s="115">
        <v>1</v>
      </c>
      <c r="D190" s="131"/>
      <c r="E190" s="131"/>
      <c r="F190" s="131"/>
      <c r="G190" s="117">
        <v>3.2</v>
      </c>
      <c r="H190" s="173">
        <v>3.278</v>
      </c>
      <c r="I190" s="173">
        <v>2.92</v>
      </c>
      <c r="J190" s="173">
        <v>2.92</v>
      </c>
      <c r="K190" s="173">
        <v>2.92</v>
      </c>
      <c r="L190" s="313">
        <v>2.92</v>
      </c>
      <c r="M190" s="173">
        <v>2.92</v>
      </c>
      <c r="N190" s="173">
        <v>2.92</v>
      </c>
    </row>
    <row r="191" spans="1:15" ht="31.5">
      <c r="A191" s="113" t="s">
        <v>191</v>
      </c>
      <c r="B191" s="114" t="s">
        <v>13</v>
      </c>
      <c r="C191" s="115">
        <v>1</v>
      </c>
      <c r="D191" s="131"/>
      <c r="E191" s="178"/>
      <c r="F191" s="131"/>
      <c r="G191" s="117">
        <v>0.99</v>
      </c>
      <c r="H191" s="173">
        <v>0.78600000000000003</v>
      </c>
      <c r="I191" s="173">
        <v>0.79</v>
      </c>
      <c r="J191" s="173">
        <f>798/1000</f>
        <v>0.79800000000000004</v>
      </c>
      <c r="K191" s="173">
        <f t="shared" ref="K191:N191" si="38">798/1000</f>
        <v>0.79800000000000004</v>
      </c>
      <c r="L191" s="313">
        <f t="shared" si="38"/>
        <v>0.79800000000000004</v>
      </c>
      <c r="M191" s="173">
        <f t="shared" si="38"/>
        <v>0.79800000000000004</v>
      </c>
      <c r="N191" s="173">
        <f t="shared" si="38"/>
        <v>0.79800000000000004</v>
      </c>
    </row>
    <row r="192" spans="1:15" ht="21">
      <c r="A192" s="113" t="s">
        <v>192</v>
      </c>
      <c r="B192" s="114" t="s">
        <v>13</v>
      </c>
      <c r="C192" s="115">
        <v>1</v>
      </c>
      <c r="D192" s="131"/>
      <c r="E192" s="131"/>
      <c r="F192" s="131"/>
      <c r="G192" s="117">
        <v>6.569</v>
      </c>
      <c r="H192" s="173">
        <v>3.97</v>
      </c>
      <c r="I192" s="173">
        <v>3.97</v>
      </c>
      <c r="J192" s="173">
        <v>4.49</v>
      </c>
      <c r="K192" s="173">
        <v>3.97</v>
      </c>
      <c r="L192" s="313">
        <v>3.97</v>
      </c>
      <c r="M192" s="173">
        <v>3.97</v>
      </c>
      <c r="N192" s="173">
        <v>4.97</v>
      </c>
    </row>
    <row r="193" spans="1:15" ht="12.75">
      <c r="A193" s="113" t="s">
        <v>193</v>
      </c>
      <c r="B193" s="114" t="s">
        <v>30</v>
      </c>
      <c r="C193" s="115">
        <v>1</v>
      </c>
      <c r="D193" s="131"/>
      <c r="E193" s="131"/>
      <c r="F193" s="131"/>
      <c r="G193" s="117">
        <v>422.3</v>
      </c>
      <c r="H193" s="173">
        <v>885</v>
      </c>
      <c r="I193" s="173">
        <v>660.6</v>
      </c>
      <c r="J193" s="173">
        <v>708</v>
      </c>
      <c r="K193" s="173">
        <f>J193*1.05</f>
        <v>743.4</v>
      </c>
      <c r="L193" s="313">
        <f t="shared" ref="I193:N194" si="39">K193*1.05</f>
        <v>780.57</v>
      </c>
      <c r="M193" s="173">
        <f t="shared" si="39"/>
        <v>819.59850000000006</v>
      </c>
      <c r="N193" s="173">
        <f t="shared" si="39"/>
        <v>860.57842500000015</v>
      </c>
    </row>
    <row r="194" spans="1:15" ht="12.75">
      <c r="A194" s="113" t="s">
        <v>194</v>
      </c>
      <c r="B194" s="114" t="s">
        <v>30</v>
      </c>
      <c r="C194" s="115">
        <v>1</v>
      </c>
      <c r="D194" s="131"/>
      <c r="E194" s="131"/>
      <c r="F194" s="131"/>
      <c r="G194" s="117">
        <v>1529.4</v>
      </c>
      <c r="H194" s="173">
        <v>2178.1999999999998</v>
      </c>
      <c r="I194" s="173">
        <f t="shared" si="39"/>
        <v>2287.11</v>
      </c>
      <c r="J194" s="173">
        <v>2302.1</v>
      </c>
      <c r="K194" s="173">
        <f>I194*1.05</f>
        <v>2401.4655000000002</v>
      </c>
      <c r="L194" s="313">
        <f t="shared" si="39"/>
        <v>2521.5387750000004</v>
      </c>
      <c r="M194" s="173">
        <f t="shared" si="39"/>
        <v>2647.6157137500004</v>
      </c>
      <c r="N194" s="173">
        <f t="shared" si="39"/>
        <v>2779.9964994375005</v>
      </c>
    </row>
    <row r="195" spans="1:15" ht="14.25">
      <c r="A195" s="124" t="s">
        <v>195</v>
      </c>
      <c r="B195" s="114"/>
      <c r="C195" s="115"/>
      <c r="D195" s="131"/>
      <c r="E195" s="131"/>
      <c r="F195" s="131"/>
      <c r="G195" s="117"/>
      <c r="H195" s="173"/>
      <c r="I195" s="173"/>
      <c r="J195" s="173"/>
      <c r="K195" s="173"/>
      <c r="L195" s="313"/>
      <c r="M195" s="173"/>
      <c r="N195" s="111"/>
    </row>
    <row r="196" spans="1:15" ht="21">
      <c r="A196" s="113" t="s">
        <v>196</v>
      </c>
      <c r="B196" s="114" t="s">
        <v>197</v>
      </c>
      <c r="C196" s="115">
        <v>1</v>
      </c>
      <c r="D196" s="116"/>
      <c r="E196" s="116"/>
      <c r="F196" s="116"/>
      <c r="G196" s="117">
        <v>670</v>
      </c>
      <c r="H196" s="173">
        <v>670</v>
      </c>
      <c r="I196" s="173">
        <f>H196+50+50</f>
        <v>770</v>
      </c>
      <c r="J196" s="173">
        <v>1079</v>
      </c>
      <c r="K196" s="173">
        <f>J196+60</f>
        <v>1139</v>
      </c>
      <c r="L196" s="313">
        <f>K196+40</f>
        <v>1179</v>
      </c>
      <c r="M196" s="173">
        <f>L196+40</f>
        <v>1219</v>
      </c>
      <c r="N196" s="173">
        <f>M196+40</f>
        <v>1259</v>
      </c>
    </row>
    <row r="197" spans="1:15" ht="21">
      <c r="A197" s="182" t="s">
        <v>198</v>
      </c>
      <c r="B197" s="114"/>
      <c r="C197" s="115"/>
      <c r="D197" s="131"/>
      <c r="E197" s="131"/>
      <c r="F197" s="131"/>
      <c r="G197" s="146"/>
      <c r="H197" s="173">
        <f t="shared" ref="H197:M197" si="40">H198+H199</f>
        <v>10013</v>
      </c>
      <c r="I197" s="173">
        <f t="shared" si="40"/>
        <v>10069</v>
      </c>
      <c r="J197" s="173">
        <f t="shared" si="40"/>
        <v>10166</v>
      </c>
      <c r="K197" s="173">
        <f t="shared" si="40"/>
        <v>10150</v>
      </c>
      <c r="L197" s="313">
        <f t="shared" si="40"/>
        <v>10153</v>
      </c>
      <c r="M197" s="173">
        <f t="shared" si="40"/>
        <v>10157</v>
      </c>
      <c r="N197" s="173">
        <f t="shared" ref="N197" si="41">N198+N199</f>
        <v>10150</v>
      </c>
    </row>
    <row r="198" spans="1:15" ht="24.75" customHeight="1">
      <c r="A198" s="136" t="s">
        <v>199</v>
      </c>
      <c r="B198" s="114" t="s">
        <v>197</v>
      </c>
      <c r="C198" s="115">
        <v>1</v>
      </c>
      <c r="D198" s="131"/>
      <c r="E198" s="131"/>
      <c r="F198" s="131"/>
      <c r="G198" s="117">
        <v>9622</v>
      </c>
      <c r="H198" s="173">
        <f>10013-449</f>
        <v>9564</v>
      </c>
      <c r="I198" s="173">
        <v>9957</v>
      </c>
      <c r="J198" s="173">
        <v>10054</v>
      </c>
      <c r="K198" s="173">
        <v>10055</v>
      </c>
      <c r="L198" s="313">
        <v>10058</v>
      </c>
      <c r="M198" s="173">
        <v>10062</v>
      </c>
      <c r="N198" s="173">
        <v>10055</v>
      </c>
    </row>
    <row r="199" spans="1:15" ht="12.75">
      <c r="A199" s="136" t="s">
        <v>200</v>
      </c>
      <c r="B199" s="114" t="s">
        <v>197</v>
      </c>
      <c r="C199" s="115">
        <v>1</v>
      </c>
      <c r="D199" s="131"/>
      <c r="E199" s="178"/>
      <c r="F199" s="131"/>
      <c r="G199" s="117">
        <f>704+9</f>
        <v>713</v>
      </c>
      <c r="H199" s="173">
        <f>103+346</f>
        <v>449</v>
      </c>
      <c r="I199" s="173">
        <v>112</v>
      </c>
      <c r="J199" s="173">
        <v>112</v>
      </c>
      <c r="K199" s="173">
        <v>95</v>
      </c>
      <c r="L199" s="313">
        <v>95</v>
      </c>
      <c r="M199" s="173">
        <v>95</v>
      </c>
      <c r="N199" s="173">
        <v>95</v>
      </c>
    </row>
    <row r="200" spans="1:15" ht="12.75">
      <c r="A200" s="136" t="s">
        <v>201</v>
      </c>
      <c r="B200" s="114" t="s">
        <v>197</v>
      </c>
      <c r="C200" s="115">
        <v>1</v>
      </c>
      <c r="D200" s="131"/>
      <c r="E200" s="131"/>
      <c r="F200" s="131"/>
      <c r="G200" s="117"/>
      <c r="H200" s="173">
        <v>0</v>
      </c>
      <c r="I200" s="173">
        <v>0</v>
      </c>
      <c r="J200" s="173">
        <v>0</v>
      </c>
      <c r="K200" s="173">
        <v>0</v>
      </c>
      <c r="L200" s="313">
        <v>0</v>
      </c>
      <c r="M200" s="173">
        <v>0</v>
      </c>
      <c r="N200" s="173">
        <v>0</v>
      </c>
    </row>
    <row r="201" spans="1:15" ht="42">
      <c r="A201" s="113" t="s">
        <v>202</v>
      </c>
      <c r="B201" s="114" t="s">
        <v>203</v>
      </c>
      <c r="C201" s="115">
        <v>1</v>
      </c>
      <c r="D201" s="131"/>
      <c r="E201" s="131"/>
      <c r="F201" s="131"/>
      <c r="G201" s="117">
        <f>7255/9622*100</f>
        <v>75.400124714196636</v>
      </c>
      <c r="H201" s="173">
        <f>7683/H198*100</f>
        <v>80.332496863237139</v>
      </c>
      <c r="I201" s="173">
        <f>7979/I198*100</f>
        <v>80.134578688359952</v>
      </c>
      <c r="J201" s="290">
        <f>8250/10055*100</f>
        <v>82.048731974142214</v>
      </c>
      <c r="K201" s="173">
        <f>8250/10055*100</f>
        <v>82.048731974142214</v>
      </c>
      <c r="L201" s="306">
        <f t="shared" ref="L201:N201" si="42">8250/10055*100</f>
        <v>82.048731974142214</v>
      </c>
      <c r="M201" s="290">
        <f t="shared" si="42"/>
        <v>82.048731974142214</v>
      </c>
      <c r="N201" s="290">
        <f t="shared" si="42"/>
        <v>82.048731974142214</v>
      </c>
    </row>
    <row r="202" spans="1:15" ht="19.5">
      <c r="A202" s="151" t="s">
        <v>204</v>
      </c>
      <c r="B202" s="183" t="s">
        <v>205</v>
      </c>
      <c r="C202" s="115">
        <v>1</v>
      </c>
      <c r="D202" s="131"/>
      <c r="E202" s="131"/>
      <c r="F202" s="131"/>
      <c r="G202" s="117">
        <v>18.04</v>
      </c>
      <c r="H202" s="173">
        <v>20.7</v>
      </c>
      <c r="I202" s="173">
        <v>21.45</v>
      </c>
      <c r="J202" s="173">
        <v>22.4</v>
      </c>
      <c r="K202" s="173">
        <v>14.9</v>
      </c>
      <c r="L202" s="313">
        <v>16</v>
      </c>
      <c r="M202" s="313">
        <v>16.5</v>
      </c>
      <c r="N202" s="313">
        <v>17.5</v>
      </c>
    </row>
    <row r="203" spans="1:15" ht="13.5" customHeight="1">
      <c r="A203" s="113" t="s">
        <v>206</v>
      </c>
      <c r="B203" s="183"/>
      <c r="C203" s="115"/>
      <c r="D203" s="131"/>
      <c r="E203" s="131"/>
      <c r="F203" s="131"/>
      <c r="G203" s="117"/>
      <c r="H203" s="173"/>
      <c r="I203" s="173"/>
      <c r="J203" s="173"/>
      <c r="K203" s="173"/>
      <c r="L203" s="306"/>
      <c r="M203" s="290"/>
      <c r="N203" s="111"/>
    </row>
    <row r="204" spans="1:15" ht="19.5">
      <c r="A204" s="136" t="s">
        <v>207</v>
      </c>
      <c r="B204" s="183" t="s">
        <v>205</v>
      </c>
      <c r="C204" s="115">
        <v>1</v>
      </c>
      <c r="D204" s="131"/>
      <c r="E204" s="131"/>
      <c r="F204" s="131"/>
      <c r="G204" s="184" t="s">
        <v>40</v>
      </c>
      <c r="H204" s="173">
        <f>1450.72/1000</f>
        <v>1.45072</v>
      </c>
      <c r="I204" s="173">
        <f>1475.72/1000</f>
        <v>1.4757199999999999</v>
      </c>
      <c r="J204" s="173">
        <v>0.54</v>
      </c>
      <c r="K204" s="173">
        <v>0.54</v>
      </c>
      <c r="L204" s="313">
        <v>0.54</v>
      </c>
      <c r="M204" s="173">
        <v>0.54</v>
      </c>
      <c r="N204" s="173">
        <v>0.54</v>
      </c>
    </row>
    <row r="205" spans="1:15" ht="27" customHeight="1">
      <c r="A205" s="136" t="s">
        <v>208</v>
      </c>
      <c r="B205" s="183" t="s">
        <v>205</v>
      </c>
      <c r="C205" s="115">
        <v>1</v>
      </c>
      <c r="D205" s="131"/>
      <c r="E205" s="131"/>
      <c r="F205" s="131"/>
      <c r="G205" s="184" t="s">
        <v>40</v>
      </c>
      <c r="H205" s="173"/>
      <c r="I205" s="173"/>
      <c r="J205" s="173">
        <v>1.5</v>
      </c>
      <c r="K205" s="173">
        <v>1.5</v>
      </c>
      <c r="L205" s="313">
        <v>1.5</v>
      </c>
      <c r="M205" s="173">
        <v>1.5</v>
      </c>
      <c r="N205" s="173">
        <v>1.5</v>
      </c>
      <c r="O205" s="325">
        <v>960867.8</v>
      </c>
    </row>
    <row r="206" spans="1:15" ht="39" customHeight="1">
      <c r="A206" s="136" t="s">
        <v>209</v>
      </c>
      <c r="B206" s="183" t="s">
        <v>205</v>
      </c>
      <c r="C206" s="115">
        <v>1</v>
      </c>
      <c r="D206" s="131"/>
      <c r="E206" s="131"/>
      <c r="F206" s="131"/>
      <c r="G206" s="117">
        <v>18.04</v>
      </c>
      <c r="H206" s="173">
        <v>20.7</v>
      </c>
      <c r="I206" s="173">
        <v>20.399999999999999</v>
      </c>
      <c r="J206" s="173">
        <f>J202-J204-J205</f>
        <v>20.36</v>
      </c>
      <c r="K206" s="173">
        <f t="shared" ref="K206:N206" si="43">K202-K204-K205</f>
        <v>12.86</v>
      </c>
      <c r="L206" s="173">
        <f t="shared" si="43"/>
        <v>13.96</v>
      </c>
      <c r="M206" s="173">
        <f t="shared" si="43"/>
        <v>14.46</v>
      </c>
      <c r="N206" s="173">
        <f t="shared" si="43"/>
        <v>15.46</v>
      </c>
    </row>
    <row r="207" spans="1:15" ht="12.75">
      <c r="A207" s="186" t="s">
        <v>137</v>
      </c>
      <c r="B207" s="120"/>
      <c r="C207" s="115"/>
      <c r="D207" s="131"/>
      <c r="E207" s="131"/>
      <c r="F207" s="131"/>
      <c r="G207" s="117"/>
      <c r="H207" s="173"/>
      <c r="I207" s="173"/>
      <c r="J207" s="173"/>
      <c r="K207" s="173"/>
      <c r="L207" s="313"/>
      <c r="M207" s="173"/>
      <c r="N207" s="111"/>
    </row>
    <row r="208" spans="1:15" ht="35.25" customHeight="1">
      <c r="A208" s="136" t="s">
        <v>210</v>
      </c>
      <c r="B208" s="114" t="s">
        <v>211</v>
      </c>
      <c r="C208" s="115">
        <v>1</v>
      </c>
      <c r="D208" s="131"/>
      <c r="E208" s="131"/>
      <c r="F208" s="131"/>
      <c r="G208" s="117">
        <f>1154.44/G6</f>
        <v>18.30120481927711</v>
      </c>
      <c r="H208" s="173">
        <v>18.899999999999999</v>
      </c>
      <c r="I208" s="173">
        <v>19</v>
      </c>
      <c r="J208" s="173">
        <v>19.3</v>
      </c>
      <c r="K208" s="173">
        <v>19.2</v>
      </c>
      <c r="L208" s="313">
        <v>19.100000000000001</v>
      </c>
      <c r="M208" s="173">
        <v>19.100000000000001</v>
      </c>
      <c r="N208" s="173">
        <v>19.100000000000001</v>
      </c>
    </row>
    <row r="209" spans="1:18" ht="35.25" customHeight="1">
      <c r="A209" s="136" t="s">
        <v>212</v>
      </c>
      <c r="B209" s="114" t="s">
        <v>213</v>
      </c>
      <c r="C209" s="115">
        <v>1</v>
      </c>
      <c r="D209" s="131"/>
      <c r="E209" s="131"/>
      <c r="F209" s="131"/>
      <c r="G209" s="161">
        <v>338642.9</v>
      </c>
      <c r="H209" s="173">
        <v>434215</v>
      </c>
      <c r="I209" s="173">
        <v>444173</v>
      </c>
      <c r="J209" s="173">
        <f>I209*1.03</f>
        <v>457498.19</v>
      </c>
      <c r="K209" s="173">
        <v>507122</v>
      </c>
      <c r="L209" s="313">
        <f>K209*1.04</f>
        <v>527406.88</v>
      </c>
      <c r="M209" s="173">
        <f>L209*1.04</f>
        <v>548503.15520000004</v>
      </c>
      <c r="N209" s="173">
        <f>M209*1.04</f>
        <v>570443.28140800004</v>
      </c>
    </row>
    <row r="210" spans="1:18" ht="35.25" customHeight="1">
      <c r="A210" s="136" t="s">
        <v>214</v>
      </c>
      <c r="B210" s="114" t="s">
        <v>188</v>
      </c>
      <c r="C210" s="115">
        <v>1</v>
      </c>
      <c r="D210" s="131"/>
      <c r="E210" s="131"/>
      <c r="F210" s="131"/>
      <c r="G210" s="187">
        <v>76.3</v>
      </c>
      <c r="H210" s="173">
        <v>47.1</v>
      </c>
      <c r="I210" s="173">
        <v>49</v>
      </c>
      <c r="J210" s="173">
        <v>47.9</v>
      </c>
      <c r="K210" s="173">
        <v>49.5</v>
      </c>
      <c r="L210" s="313">
        <v>50.8</v>
      </c>
      <c r="M210" s="313">
        <v>52.4</v>
      </c>
      <c r="N210" s="313">
        <v>53</v>
      </c>
    </row>
    <row r="211" spans="1:18" ht="35.25" customHeight="1">
      <c r="A211" s="113" t="s">
        <v>215</v>
      </c>
      <c r="B211" s="114" t="s">
        <v>216</v>
      </c>
      <c r="C211" s="115">
        <v>1</v>
      </c>
      <c r="D211" s="131"/>
      <c r="E211" s="131"/>
      <c r="F211" s="131"/>
      <c r="G211" s="117">
        <v>7.78</v>
      </c>
      <c r="H211" s="173">
        <v>8.61</v>
      </c>
      <c r="I211" s="173">
        <v>8.99</v>
      </c>
      <c r="J211" s="173">
        <v>9.5</v>
      </c>
      <c r="K211" s="173">
        <v>9.6</v>
      </c>
      <c r="L211" s="173">
        <v>9.6</v>
      </c>
      <c r="M211" s="173">
        <v>9.6</v>
      </c>
      <c r="N211" s="173">
        <v>9.6</v>
      </c>
    </row>
    <row r="212" spans="1:18" ht="35.25" customHeight="1">
      <c r="A212" s="113" t="s">
        <v>215</v>
      </c>
      <c r="B212" s="114" t="s">
        <v>217</v>
      </c>
      <c r="C212" s="115">
        <v>1</v>
      </c>
      <c r="D212" s="131"/>
      <c r="E212" s="131"/>
      <c r="F212" s="131"/>
      <c r="G212" s="188">
        <f>G211/G6*1000</f>
        <v>123.33544705136336</v>
      </c>
      <c r="H212" s="173">
        <v>126.431718061674</v>
      </c>
      <c r="I212" s="173">
        <f>8994/68400*1000</f>
        <v>131.49122807017542</v>
      </c>
      <c r="J212" s="177">
        <f>J211/J6*1000</f>
        <v>136.25932300631098</v>
      </c>
      <c r="K212" s="177">
        <f>K211/K6*1000</f>
        <v>134.98312710911134</v>
      </c>
      <c r="L212" s="326">
        <f>L211/L6*1000</f>
        <v>132.37727523441805</v>
      </c>
      <c r="M212" s="177">
        <f>M211/M6*1000</f>
        <v>129.87012987012983</v>
      </c>
      <c r="N212" s="177">
        <f>N211/N6*1000</f>
        <v>127.45618693574079</v>
      </c>
    </row>
    <row r="213" spans="1:18" ht="12.75">
      <c r="A213" s="189" t="s">
        <v>218</v>
      </c>
      <c r="B213" s="190" t="s">
        <v>213</v>
      </c>
      <c r="C213" s="191"/>
      <c r="D213" s="192"/>
      <c r="E213" s="193"/>
      <c r="F213" s="191"/>
      <c r="G213" s="194"/>
      <c r="H213" s="173">
        <v>673938.19</v>
      </c>
      <c r="I213" s="173">
        <v>752632</v>
      </c>
      <c r="J213" s="173">
        <v>888988</v>
      </c>
      <c r="K213" s="173">
        <v>960868</v>
      </c>
      <c r="L213" s="327">
        <v>1033556</v>
      </c>
      <c r="M213" s="195">
        <v>1115684</v>
      </c>
      <c r="N213" s="111">
        <f>M213*1.08</f>
        <v>1204938.72</v>
      </c>
      <c r="O213" s="137"/>
      <c r="Q213" s="137"/>
      <c r="R213" s="137"/>
    </row>
    <row r="214" spans="1:18" ht="12.75">
      <c r="A214" s="113" t="s">
        <v>14</v>
      </c>
      <c r="B214" s="120" t="s">
        <v>15</v>
      </c>
      <c r="C214" s="191"/>
      <c r="D214" s="192"/>
      <c r="E214" s="193"/>
      <c r="F214" s="191"/>
      <c r="G214" s="194"/>
      <c r="H214" s="196">
        <v>104.76239239490819</v>
      </c>
      <c r="I214" s="196">
        <f>I213/H213/I215*10000</f>
        <v>98.220501576932392</v>
      </c>
      <c r="J214" s="196">
        <f t="shared" ref="J214:N214" si="44">J213/I213/J215*10000</f>
        <v>110.28685399974111</v>
      </c>
      <c r="K214" s="196">
        <f t="shared" si="44"/>
        <v>101.48882484110064</v>
      </c>
      <c r="L214" s="315">
        <f>L213/K213/L215*10000</f>
        <v>100.99983737317633</v>
      </c>
      <c r="M214" s="196">
        <f t="shared" si="44"/>
        <v>101.35789549174292</v>
      </c>
      <c r="N214" s="196">
        <f t="shared" si="44"/>
        <v>101.40845070422536</v>
      </c>
      <c r="O214" s="137"/>
    </row>
    <row r="215" spans="1:18" ht="12.75">
      <c r="A215" s="113" t="s">
        <v>16</v>
      </c>
      <c r="B215" s="120" t="s">
        <v>15</v>
      </c>
      <c r="C215" s="191"/>
      <c r="D215" s="192"/>
      <c r="E215" s="193"/>
      <c r="F215" s="191"/>
      <c r="G215" s="194"/>
      <c r="H215" s="196">
        <v>106.6</v>
      </c>
      <c r="I215" s="196">
        <v>113.7</v>
      </c>
      <c r="J215" s="196">
        <v>107.1</v>
      </c>
      <c r="K215" s="196">
        <v>106.5</v>
      </c>
      <c r="L215" s="196">
        <v>106.5</v>
      </c>
      <c r="M215" s="196">
        <v>106.5</v>
      </c>
      <c r="N215" s="196">
        <v>106.5</v>
      </c>
      <c r="O215" s="137"/>
    </row>
    <row r="216" spans="1:18" ht="18.75">
      <c r="A216" s="197"/>
      <c r="B216" s="198"/>
      <c r="C216" s="199"/>
      <c r="D216" s="200"/>
      <c r="E216" s="201"/>
      <c r="F216" s="199"/>
      <c r="J216" s="247"/>
      <c r="L216" s="194"/>
      <c r="M216" s="194"/>
    </row>
    <row r="217" spans="1:18" ht="28.5" customHeight="1">
      <c r="A217" s="379" t="s">
        <v>284</v>
      </c>
      <c r="B217" s="379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  <c r="M217" s="379"/>
      <c r="N217" s="379"/>
      <c r="O217" s="379"/>
    </row>
    <row r="218" spans="1:18" ht="16.5" customHeight="1">
      <c r="A218" s="203"/>
      <c r="B218" s="203"/>
      <c r="C218" s="203"/>
      <c r="D218" s="203"/>
      <c r="E218" s="203"/>
      <c r="F218" s="203"/>
      <c r="G218" s="203"/>
      <c r="H218" s="246"/>
      <c r="I218" s="246"/>
      <c r="J218" s="246"/>
      <c r="K218" s="246"/>
      <c r="L218" s="246"/>
      <c r="M218" s="246"/>
    </row>
    <row r="219" spans="1:18" ht="16.5" customHeight="1">
      <c r="A219" s="203"/>
      <c r="B219" s="203"/>
      <c r="C219" s="203"/>
      <c r="D219" s="203"/>
      <c r="E219" s="203"/>
      <c r="F219" s="203"/>
      <c r="G219" s="203"/>
      <c r="H219" s="246"/>
      <c r="I219" s="246"/>
      <c r="J219" s="246"/>
      <c r="K219" s="246"/>
      <c r="L219" s="246"/>
      <c r="M219" s="246"/>
    </row>
    <row r="220" spans="1:18" ht="16.5" customHeight="1">
      <c r="A220" s="203"/>
      <c r="B220" s="203"/>
      <c r="C220" s="203"/>
      <c r="D220" s="203"/>
      <c r="E220" s="203"/>
      <c r="F220" s="203"/>
      <c r="G220" s="203"/>
      <c r="H220" s="246"/>
      <c r="I220" s="246"/>
      <c r="J220" s="246"/>
      <c r="K220" s="246"/>
      <c r="L220" s="246"/>
      <c r="M220" s="246"/>
    </row>
    <row r="221" spans="1:18" ht="56.25" customHeight="1">
      <c r="A221" s="203"/>
      <c r="B221" s="203"/>
      <c r="C221" s="203"/>
      <c r="D221" s="203"/>
      <c r="E221" s="203"/>
      <c r="F221" s="203"/>
      <c r="G221" s="203"/>
      <c r="H221" s="246"/>
      <c r="I221" s="246"/>
      <c r="J221" s="246"/>
      <c r="K221" s="246"/>
      <c r="L221" s="246"/>
      <c r="M221" s="246"/>
    </row>
    <row r="222" spans="1:18" ht="56.25" customHeight="1">
      <c r="A222" s="203"/>
      <c r="B222" s="203"/>
      <c r="C222" s="203"/>
      <c r="D222" s="203"/>
      <c r="E222" s="203"/>
      <c r="F222" s="203"/>
      <c r="G222" s="203"/>
      <c r="H222" s="246"/>
      <c r="I222" s="246"/>
      <c r="J222" s="246"/>
      <c r="K222" s="246"/>
      <c r="L222" s="246"/>
      <c r="M222" s="246"/>
    </row>
    <row r="223" spans="1:18" ht="56.25" customHeight="1">
      <c r="A223" s="203"/>
      <c r="B223" s="203"/>
      <c r="C223" s="203"/>
      <c r="D223" s="203"/>
      <c r="E223" s="203"/>
      <c r="F223" s="203"/>
      <c r="G223" s="203"/>
      <c r="H223" s="246"/>
      <c r="I223" s="246"/>
      <c r="J223" s="246"/>
      <c r="K223" s="246"/>
      <c r="L223" s="246"/>
      <c r="M223" s="246"/>
    </row>
    <row r="224" spans="1:18" ht="56.25" customHeight="1">
      <c r="A224" s="203"/>
      <c r="B224" s="203"/>
      <c r="C224" s="203"/>
      <c r="D224" s="203"/>
      <c r="E224" s="203"/>
      <c r="F224" s="203"/>
      <c r="G224" s="203"/>
      <c r="H224" s="246"/>
      <c r="I224" s="246"/>
      <c r="J224" s="246"/>
      <c r="K224" s="246"/>
      <c r="L224" s="246"/>
      <c r="M224" s="246"/>
    </row>
    <row r="225" spans="1:13" ht="56.25" customHeight="1">
      <c r="A225" s="203"/>
      <c r="B225" s="203"/>
      <c r="C225" s="203"/>
      <c r="D225" s="203"/>
      <c r="E225" s="203"/>
      <c r="F225" s="203"/>
      <c r="G225" s="203"/>
      <c r="H225" s="246"/>
      <c r="I225" s="246"/>
      <c r="J225" s="246"/>
      <c r="K225" s="246"/>
      <c r="L225" s="246"/>
      <c r="M225" s="246"/>
    </row>
    <row r="226" spans="1:13" ht="18.75">
      <c r="A226" s="204"/>
      <c r="B226" s="198"/>
      <c r="C226" s="199"/>
      <c r="D226" s="200"/>
      <c r="E226" s="201"/>
      <c r="F226" s="199"/>
      <c r="G226" s="202"/>
      <c r="H226" s="194"/>
      <c r="I226" s="194"/>
      <c r="J226" s="194"/>
      <c r="K226" s="194"/>
      <c r="L226" s="194"/>
      <c r="M226" s="194"/>
    </row>
    <row r="227" spans="1:13" ht="18.75">
      <c r="A227" s="204"/>
      <c r="B227" s="198"/>
      <c r="C227" s="199"/>
      <c r="D227" s="200"/>
      <c r="E227" s="201"/>
      <c r="F227" s="199"/>
      <c r="G227" s="202"/>
      <c r="H227" s="194"/>
      <c r="I227" s="194"/>
      <c r="J227" s="194"/>
      <c r="K227" s="194"/>
      <c r="L227" s="194"/>
      <c r="M227" s="194"/>
    </row>
    <row r="228" spans="1:13" ht="18.75">
      <c r="A228" s="204"/>
      <c r="B228" s="198"/>
      <c r="C228" s="199"/>
      <c r="D228" s="200"/>
      <c r="E228" s="201"/>
      <c r="F228" s="199"/>
      <c r="G228" s="202"/>
      <c r="H228" s="194"/>
      <c r="I228" s="194"/>
      <c r="J228" s="194"/>
      <c r="K228" s="194"/>
      <c r="L228" s="194"/>
      <c r="M228" s="194"/>
    </row>
    <row r="229" spans="1:13" ht="18.75">
      <c r="A229" s="204"/>
      <c r="B229" s="198"/>
      <c r="C229" s="199"/>
      <c r="D229" s="200"/>
      <c r="E229" s="201"/>
      <c r="F229" s="199"/>
      <c r="G229" s="202"/>
      <c r="H229" s="194"/>
      <c r="I229" s="194"/>
      <c r="J229" s="194"/>
      <c r="K229" s="194"/>
      <c r="L229" s="194"/>
      <c r="M229" s="194"/>
    </row>
    <row r="230" spans="1:13" ht="18.75">
      <c r="A230" s="204"/>
      <c r="B230" s="198"/>
      <c r="C230" s="199"/>
      <c r="D230" s="200"/>
      <c r="E230" s="201"/>
      <c r="F230" s="199"/>
      <c r="G230" s="202"/>
      <c r="H230" s="194"/>
      <c r="I230" s="194"/>
      <c r="J230" s="194"/>
      <c r="K230" s="194"/>
      <c r="L230" s="194"/>
      <c r="M230" s="194"/>
    </row>
    <row r="231" spans="1:13">
      <c r="A231" s="198"/>
      <c r="B231" s="198"/>
      <c r="C231" s="199"/>
      <c r="D231" s="200"/>
      <c r="E231" s="201"/>
      <c r="F231" s="199"/>
      <c r="G231" s="202"/>
      <c r="H231" s="194"/>
      <c r="I231" s="194"/>
      <c r="J231" s="194"/>
      <c r="K231" s="194"/>
      <c r="L231" s="194"/>
      <c r="M231" s="194"/>
    </row>
    <row r="232" spans="1:13">
      <c r="A232" s="198"/>
      <c r="B232" s="198"/>
      <c r="C232" s="199"/>
      <c r="D232" s="200"/>
      <c r="E232" s="201"/>
      <c r="F232" s="199"/>
      <c r="G232" s="202"/>
      <c r="H232" s="194"/>
      <c r="I232" s="194"/>
      <c r="J232" s="194"/>
      <c r="K232" s="194"/>
      <c r="L232" s="194"/>
      <c r="M232" s="194"/>
    </row>
    <row r="233" spans="1:13">
      <c r="A233" s="198"/>
      <c r="B233" s="198"/>
      <c r="C233" s="199"/>
      <c r="D233" s="200"/>
      <c r="E233" s="201"/>
      <c r="F233" s="199"/>
      <c r="G233" s="202"/>
      <c r="H233" s="194"/>
      <c r="I233" s="194"/>
      <c r="J233" s="194"/>
      <c r="K233" s="194"/>
      <c r="L233" s="194"/>
      <c r="M233" s="194"/>
    </row>
    <row r="234" spans="1:13" ht="12.75">
      <c r="A234" s="198"/>
      <c r="B234" s="198"/>
      <c r="C234" s="199"/>
      <c r="D234" s="200"/>
      <c r="E234" s="201"/>
      <c r="F234" s="199"/>
      <c r="G234" s="205">
        <v>77.86</v>
      </c>
      <c r="H234" s="244"/>
      <c r="I234" s="244">
        <f>80.4+1.35</f>
        <v>81.75</v>
      </c>
      <c r="J234" s="244"/>
      <c r="K234" s="244"/>
      <c r="L234" s="243">
        <f>I234+1.45</f>
        <v>83.2</v>
      </c>
      <c r="M234" s="243"/>
    </row>
    <row r="235" spans="1:13">
      <c r="A235" s="198"/>
      <c r="B235" s="198"/>
      <c r="C235" s="199"/>
      <c r="D235" s="200"/>
      <c r="E235" s="201"/>
      <c r="F235" s="199"/>
      <c r="G235" s="202"/>
      <c r="H235" s="194"/>
      <c r="I235" s="194"/>
      <c r="J235" s="194"/>
      <c r="K235" s="194"/>
      <c r="L235" s="194"/>
      <c r="M235" s="194"/>
    </row>
    <row r="236" spans="1:13">
      <c r="A236" s="198"/>
      <c r="B236" s="198"/>
      <c r="C236" s="199"/>
      <c r="D236" s="200"/>
      <c r="E236" s="201"/>
      <c r="F236" s="199"/>
      <c r="G236" s="202"/>
      <c r="H236" s="194"/>
      <c r="I236" s="194"/>
      <c r="J236" s="194"/>
      <c r="K236" s="194"/>
      <c r="L236" s="194"/>
      <c r="M236" s="194"/>
    </row>
    <row r="237" spans="1:13">
      <c r="A237" s="198"/>
      <c r="B237" s="198"/>
      <c r="C237" s="199"/>
      <c r="D237" s="200"/>
      <c r="E237" s="201"/>
      <c r="F237" s="199"/>
      <c r="G237" s="202"/>
      <c r="H237" s="194"/>
      <c r="I237" s="194"/>
      <c r="J237" s="194"/>
      <c r="K237" s="194"/>
      <c r="L237" s="194"/>
      <c r="M237" s="194"/>
    </row>
    <row r="238" spans="1:13">
      <c r="A238" s="198"/>
      <c r="B238" s="198"/>
      <c r="C238" s="199"/>
      <c r="D238" s="200"/>
      <c r="E238" s="201"/>
      <c r="F238" s="199"/>
      <c r="G238" s="202"/>
      <c r="H238" s="194"/>
      <c r="I238" s="194"/>
      <c r="J238" s="194"/>
      <c r="K238" s="194"/>
      <c r="L238" s="194"/>
      <c r="M238" s="194"/>
    </row>
    <row r="239" spans="1:13">
      <c r="A239" s="198"/>
      <c r="B239" s="198"/>
      <c r="C239" s="199"/>
      <c r="D239" s="200"/>
      <c r="E239" s="201"/>
      <c r="F239" s="199"/>
      <c r="G239" s="202"/>
      <c r="H239" s="194"/>
      <c r="I239" s="194"/>
      <c r="J239" s="194"/>
      <c r="K239" s="194"/>
      <c r="L239" s="194"/>
      <c r="M239" s="194"/>
    </row>
    <row r="240" spans="1:13">
      <c r="A240" s="198"/>
      <c r="B240" s="198"/>
      <c r="C240" s="199"/>
      <c r="D240" s="200"/>
      <c r="E240" s="201"/>
      <c r="F240" s="199"/>
      <c r="G240" s="202"/>
      <c r="H240" s="194"/>
      <c r="I240" s="194"/>
      <c r="J240" s="194"/>
      <c r="K240" s="194"/>
      <c r="L240" s="194"/>
      <c r="M240" s="194"/>
    </row>
    <row r="241" spans="1:13">
      <c r="A241" s="198"/>
      <c r="B241" s="198"/>
      <c r="C241" s="199"/>
      <c r="D241" s="200"/>
      <c r="E241" s="201"/>
      <c r="F241" s="199"/>
      <c r="G241" s="202"/>
      <c r="H241" s="194"/>
      <c r="I241" s="194"/>
      <c r="J241" s="194"/>
      <c r="K241" s="194"/>
      <c r="L241" s="194"/>
      <c r="M241" s="194"/>
    </row>
    <row r="242" spans="1:13">
      <c r="A242" s="198"/>
      <c r="B242" s="198"/>
      <c r="C242" s="199"/>
      <c r="D242" s="200"/>
      <c r="E242" s="201"/>
      <c r="F242" s="199"/>
      <c r="G242" s="202"/>
      <c r="H242" s="194"/>
      <c r="I242" s="194"/>
      <c r="J242" s="194"/>
      <c r="K242" s="194"/>
      <c r="L242" s="194"/>
      <c r="M242" s="194"/>
    </row>
    <row r="243" spans="1:13">
      <c r="A243" s="198"/>
      <c r="B243" s="198"/>
      <c r="C243" s="199"/>
      <c r="D243" s="200"/>
      <c r="E243" s="201"/>
      <c r="F243" s="199"/>
      <c r="G243" s="202"/>
      <c r="H243" s="194"/>
      <c r="I243" s="194"/>
      <c r="J243" s="194"/>
      <c r="K243" s="194"/>
      <c r="L243" s="194"/>
      <c r="M243" s="194"/>
    </row>
    <row r="244" spans="1:13">
      <c r="A244" s="198"/>
      <c r="B244" s="198"/>
      <c r="C244" s="199"/>
      <c r="D244" s="200"/>
      <c r="E244" s="201"/>
      <c r="F244" s="199"/>
      <c r="G244" s="202"/>
      <c r="H244" s="194"/>
      <c r="I244" s="194"/>
      <c r="J244" s="194"/>
      <c r="K244" s="194"/>
      <c r="L244" s="194"/>
      <c r="M244" s="194"/>
    </row>
    <row r="245" spans="1:13">
      <c r="A245" s="198"/>
      <c r="B245" s="198"/>
      <c r="C245" s="199"/>
      <c r="D245" s="200"/>
      <c r="E245" s="201"/>
      <c r="F245" s="199"/>
      <c r="G245" s="202"/>
      <c r="H245" s="194"/>
      <c r="I245" s="194"/>
      <c r="J245" s="194"/>
      <c r="K245" s="194"/>
      <c r="L245" s="194"/>
      <c r="M245" s="194"/>
    </row>
    <row r="246" spans="1:13">
      <c r="A246" s="198"/>
      <c r="B246" s="198"/>
      <c r="C246" s="199"/>
      <c r="D246" s="200"/>
      <c r="E246" s="201"/>
      <c r="F246" s="199"/>
      <c r="G246" s="202"/>
      <c r="H246" s="194"/>
      <c r="I246" s="194"/>
      <c r="J246" s="194"/>
      <c r="K246" s="194"/>
      <c r="L246" s="194"/>
      <c r="M246" s="194"/>
    </row>
    <row r="247" spans="1:13">
      <c r="A247" s="198"/>
      <c r="B247" s="198"/>
      <c r="C247" s="199"/>
      <c r="D247" s="200"/>
      <c r="E247" s="201"/>
      <c r="F247" s="199"/>
      <c r="G247" s="202"/>
      <c r="H247" s="194"/>
      <c r="I247" s="194"/>
      <c r="J247" s="194"/>
      <c r="K247" s="194"/>
      <c r="L247" s="194"/>
      <c r="M247" s="194"/>
    </row>
    <row r="248" spans="1:13">
      <c r="A248" s="198"/>
      <c r="B248" s="198"/>
      <c r="C248" s="199"/>
      <c r="D248" s="200"/>
      <c r="E248" s="201"/>
      <c r="F248" s="199"/>
      <c r="G248" s="202"/>
      <c r="H248" s="194"/>
      <c r="I248" s="194"/>
      <c r="J248" s="194"/>
      <c r="K248" s="194"/>
      <c r="L248" s="194"/>
      <c r="M248" s="194"/>
    </row>
    <row r="249" spans="1:13">
      <c r="A249" s="198"/>
      <c r="B249" s="198"/>
      <c r="C249" s="199"/>
      <c r="D249" s="200"/>
      <c r="E249" s="201"/>
      <c r="F249" s="199"/>
      <c r="G249" s="202"/>
      <c r="H249" s="194"/>
      <c r="I249" s="194"/>
      <c r="J249" s="194"/>
      <c r="K249" s="194"/>
      <c r="L249" s="194"/>
      <c r="M249" s="194"/>
    </row>
    <row r="250" spans="1:13">
      <c r="A250" s="198"/>
      <c r="B250" s="198"/>
      <c r="C250" s="199"/>
      <c r="D250" s="200"/>
      <c r="E250" s="201"/>
      <c r="F250" s="199"/>
      <c r="G250" s="202"/>
      <c r="H250" s="194"/>
      <c r="I250" s="194"/>
      <c r="J250" s="194"/>
      <c r="K250" s="194"/>
      <c r="L250" s="194"/>
      <c r="M250" s="194"/>
    </row>
    <row r="251" spans="1:13">
      <c r="A251" s="198"/>
      <c r="B251" s="198"/>
      <c r="C251" s="199"/>
      <c r="D251" s="200"/>
      <c r="E251" s="201"/>
      <c r="F251" s="199"/>
      <c r="G251" s="202"/>
      <c r="H251" s="194"/>
      <c r="I251" s="194"/>
      <c r="J251" s="194"/>
      <c r="K251" s="194"/>
      <c r="L251" s="194"/>
      <c r="M251" s="194"/>
    </row>
    <row r="252" spans="1:13">
      <c r="A252" s="198"/>
      <c r="B252" s="198"/>
      <c r="C252" s="199"/>
      <c r="D252" s="200"/>
      <c r="E252" s="201"/>
      <c r="F252" s="199"/>
      <c r="G252" s="202"/>
      <c r="H252" s="194"/>
      <c r="I252" s="194"/>
      <c r="J252" s="194"/>
      <c r="K252" s="194"/>
      <c r="L252" s="194"/>
      <c r="M252" s="194"/>
    </row>
    <row r="253" spans="1:13">
      <c r="A253" s="198"/>
      <c r="B253" s="198"/>
      <c r="C253" s="199"/>
      <c r="D253" s="200"/>
      <c r="E253" s="201"/>
      <c r="F253" s="199"/>
      <c r="G253" s="202"/>
      <c r="H253" s="194"/>
      <c r="I253" s="194"/>
      <c r="J253" s="194"/>
      <c r="K253" s="194"/>
      <c r="L253" s="194"/>
      <c r="M253" s="194"/>
    </row>
    <row r="254" spans="1:13">
      <c r="A254" s="198"/>
      <c r="B254" s="198"/>
      <c r="C254" s="199"/>
      <c r="D254" s="200"/>
      <c r="E254" s="201"/>
      <c r="F254" s="199"/>
      <c r="G254" s="202"/>
      <c r="H254" s="194"/>
      <c r="I254" s="194"/>
      <c r="J254" s="194"/>
      <c r="K254" s="194"/>
      <c r="L254" s="194"/>
      <c r="M254" s="194"/>
    </row>
    <row r="255" spans="1:13">
      <c r="A255" s="198"/>
      <c r="B255" s="198"/>
      <c r="C255" s="199"/>
      <c r="D255" s="200"/>
      <c r="E255" s="201"/>
      <c r="F255" s="199"/>
      <c r="G255" s="202"/>
      <c r="H255" s="194"/>
      <c r="I255" s="194"/>
      <c r="J255" s="194"/>
      <c r="K255" s="194"/>
      <c r="L255" s="194"/>
      <c r="M255" s="194"/>
    </row>
    <row r="256" spans="1:13">
      <c r="A256" s="198"/>
      <c r="B256" s="198"/>
      <c r="C256" s="199"/>
      <c r="D256" s="200"/>
      <c r="E256" s="201"/>
      <c r="F256" s="199"/>
      <c r="G256" s="202"/>
      <c r="H256" s="194"/>
      <c r="I256" s="194"/>
      <c r="J256" s="194"/>
      <c r="K256" s="194"/>
      <c r="L256" s="194"/>
      <c r="M256" s="194"/>
    </row>
    <row r="257" spans="1:13">
      <c r="A257" s="198"/>
      <c r="B257" s="198"/>
      <c r="C257" s="199"/>
      <c r="D257" s="200"/>
      <c r="E257" s="201"/>
      <c r="F257" s="199"/>
      <c r="G257" s="202"/>
      <c r="H257" s="194"/>
      <c r="I257" s="194"/>
      <c r="J257" s="194"/>
      <c r="K257" s="194"/>
      <c r="L257" s="194"/>
      <c r="M257" s="194"/>
    </row>
    <row r="258" spans="1:13">
      <c r="A258" s="198"/>
      <c r="B258" s="198"/>
      <c r="C258" s="199"/>
      <c r="D258" s="200"/>
      <c r="E258" s="201"/>
      <c r="F258" s="199"/>
      <c r="G258" s="202"/>
      <c r="H258" s="194"/>
      <c r="I258" s="194"/>
      <c r="J258" s="194"/>
      <c r="K258" s="194"/>
      <c r="L258" s="194"/>
      <c r="M258" s="194"/>
    </row>
    <row r="259" spans="1:13">
      <c r="A259" s="198"/>
      <c r="B259" s="198"/>
      <c r="C259" s="199"/>
      <c r="D259" s="200"/>
      <c r="E259" s="201"/>
      <c r="F259" s="199"/>
      <c r="G259" s="202"/>
      <c r="H259" s="194"/>
      <c r="I259" s="194"/>
      <c r="J259" s="194"/>
      <c r="K259" s="194"/>
      <c r="L259" s="194"/>
      <c r="M259" s="194"/>
    </row>
    <row r="260" spans="1:13">
      <c r="A260" s="198"/>
      <c r="B260" s="198"/>
      <c r="C260" s="199"/>
      <c r="D260" s="200"/>
      <c r="E260" s="201"/>
      <c r="F260" s="199"/>
      <c r="G260" s="202"/>
      <c r="H260" s="194"/>
      <c r="I260" s="194"/>
      <c r="J260" s="194"/>
      <c r="K260" s="194"/>
      <c r="L260" s="194"/>
      <c r="M260" s="194"/>
    </row>
    <row r="261" spans="1:13">
      <c r="A261" s="198"/>
      <c r="B261" s="198"/>
      <c r="C261" s="199"/>
      <c r="D261" s="200"/>
      <c r="E261" s="201"/>
      <c r="F261" s="199"/>
      <c r="G261" s="202"/>
      <c r="H261" s="194"/>
      <c r="I261" s="194"/>
      <c r="J261" s="194"/>
      <c r="K261" s="194"/>
      <c r="L261" s="194"/>
      <c r="M261" s="194"/>
    </row>
    <row r="262" spans="1:13">
      <c r="A262" s="198"/>
      <c r="B262" s="198"/>
      <c r="C262" s="199"/>
      <c r="D262" s="200"/>
      <c r="E262" s="201"/>
      <c r="F262" s="199"/>
      <c r="G262" s="202"/>
      <c r="H262" s="194"/>
      <c r="I262" s="194"/>
      <c r="J262" s="194"/>
      <c r="K262" s="194"/>
      <c r="L262" s="194"/>
      <c r="M262" s="194"/>
    </row>
    <row r="263" spans="1:13">
      <c r="A263" s="198"/>
      <c r="B263" s="198"/>
      <c r="C263" s="199"/>
      <c r="D263" s="200"/>
      <c r="E263" s="201"/>
      <c r="F263" s="199"/>
      <c r="G263" s="202"/>
      <c r="H263" s="194"/>
      <c r="I263" s="194"/>
      <c r="J263" s="194"/>
      <c r="K263" s="194"/>
      <c r="L263" s="194"/>
      <c r="M263" s="194"/>
    </row>
    <row r="264" spans="1:13">
      <c r="A264" s="198"/>
      <c r="B264" s="198"/>
      <c r="C264" s="199"/>
      <c r="D264" s="200"/>
      <c r="E264" s="201"/>
      <c r="F264" s="199"/>
      <c r="G264" s="202"/>
      <c r="H264" s="194"/>
      <c r="I264" s="194"/>
      <c r="J264" s="194"/>
      <c r="K264" s="194"/>
      <c r="L264" s="194"/>
      <c r="M264" s="194"/>
    </row>
    <row r="265" spans="1:13">
      <c r="A265" s="198"/>
      <c r="B265" s="198"/>
      <c r="C265" s="199"/>
      <c r="D265" s="200"/>
      <c r="E265" s="201"/>
      <c r="F265" s="199"/>
      <c r="G265" s="202"/>
      <c r="H265" s="194"/>
      <c r="I265" s="194"/>
      <c r="J265" s="194"/>
      <c r="K265" s="194"/>
      <c r="L265" s="194"/>
      <c r="M265" s="194"/>
    </row>
    <row r="266" spans="1:13">
      <c r="A266" s="198"/>
      <c r="B266" s="198"/>
      <c r="C266" s="199"/>
      <c r="D266" s="200"/>
      <c r="E266" s="201"/>
      <c r="F266" s="199"/>
      <c r="G266" s="202"/>
      <c r="H266" s="194"/>
      <c r="I266" s="194"/>
      <c r="J266" s="194"/>
      <c r="K266" s="194"/>
      <c r="L266" s="194"/>
      <c r="M266" s="194"/>
    </row>
    <row r="267" spans="1:13">
      <c r="A267" s="198"/>
      <c r="B267" s="198"/>
      <c r="C267" s="199"/>
      <c r="D267" s="200"/>
      <c r="E267" s="201"/>
      <c r="F267" s="199"/>
      <c r="G267" s="202"/>
      <c r="H267" s="194"/>
      <c r="I267" s="194"/>
      <c r="J267" s="194"/>
      <c r="K267" s="194"/>
      <c r="L267" s="194"/>
      <c r="M267" s="194"/>
    </row>
    <row r="268" spans="1:13">
      <c r="A268" s="198"/>
      <c r="B268" s="198"/>
      <c r="C268" s="199"/>
      <c r="D268" s="200"/>
      <c r="E268" s="201"/>
      <c r="F268" s="199"/>
      <c r="G268" s="202"/>
      <c r="H268" s="194"/>
      <c r="I268" s="194"/>
      <c r="J268" s="194"/>
      <c r="K268" s="194"/>
      <c r="L268" s="194"/>
      <c r="M268" s="194"/>
    </row>
    <row r="269" spans="1:13">
      <c r="A269" s="198"/>
      <c r="B269" s="198"/>
      <c r="C269" s="199"/>
      <c r="D269" s="200"/>
      <c r="E269" s="201"/>
      <c r="F269" s="199"/>
      <c r="G269" s="202"/>
      <c r="H269" s="194"/>
      <c r="I269" s="194"/>
      <c r="J269" s="194"/>
      <c r="K269" s="194"/>
      <c r="L269" s="194"/>
      <c r="M269" s="194"/>
    </row>
    <row r="270" spans="1:13">
      <c r="A270" s="198"/>
      <c r="B270" s="198"/>
      <c r="C270" s="199"/>
      <c r="D270" s="200"/>
      <c r="E270" s="201"/>
      <c r="F270" s="199"/>
      <c r="G270" s="202"/>
      <c r="H270" s="194"/>
      <c r="I270" s="194"/>
      <c r="J270" s="194"/>
      <c r="K270" s="194"/>
      <c r="L270" s="194"/>
      <c r="M270" s="194"/>
    </row>
  </sheetData>
  <mergeCells count="14">
    <mergeCell ref="A1:N1"/>
    <mergeCell ref="K3:K4"/>
    <mergeCell ref="L3:L4"/>
    <mergeCell ref="M3:M4"/>
    <mergeCell ref="A217:O217"/>
    <mergeCell ref="L2:N2"/>
    <mergeCell ref="N3:N4"/>
    <mergeCell ref="A2:A4"/>
    <mergeCell ref="B2:B4"/>
    <mergeCell ref="H2:J2"/>
    <mergeCell ref="G3:G4"/>
    <mergeCell ref="H3:H4"/>
    <mergeCell ref="I3:I4"/>
    <mergeCell ref="J3:J4"/>
  </mergeCells>
  <conditionalFormatting sqref="G109:G110 A109:A110">
    <cfRule type="expression" dxfId="11" priority="6">
      <formula>#REF!&lt;#REF!</formula>
    </cfRule>
  </conditionalFormatting>
  <conditionalFormatting sqref="G103:G104">
    <cfRule type="expression" dxfId="10" priority="1">
      <formula>G$208&lt;&gt;SUM(G$209:G$210)</formula>
    </cfRule>
  </conditionalFormatting>
  <conditionalFormatting sqref="G129:G150">
    <cfRule type="expression" dxfId="9" priority="9">
      <formula>#REF!&lt;&gt;SUM(#REF!,#REF!,#REF!,#REF!)</formula>
    </cfRule>
  </conditionalFormatting>
  <conditionalFormatting sqref="G134:G138">
    <cfRule type="expression" dxfId="8" priority="10">
      <formula>#REF!&lt;&gt;SUM(#REF!)</formula>
    </cfRule>
  </conditionalFormatting>
  <conditionalFormatting sqref="G144:G149">
    <cfRule type="expression" dxfId="7" priority="11">
      <formula>#REF!&lt;&gt;SUM(#REF!)</formula>
    </cfRule>
  </conditionalFormatting>
  <conditionalFormatting sqref="G105:G108">
    <cfRule type="expression" dxfId="6" priority="12">
      <formula>#REF!&lt;&gt;SUM(#REF!)</formula>
    </cfRule>
  </conditionalFormatting>
  <pageMargins left="0.31496062992125984" right="0.27559055118110237" top="0.98425196850393704" bottom="0.98425196850393704" header="0.51181102362204722" footer="0.51181102362204722"/>
  <pageSetup paperSize="9" scale="8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0"/>
  <sheetViews>
    <sheetView zoomScale="85" zoomScaleNormal="85" workbookViewId="0">
      <pane ySplit="2" topLeftCell="A3" activePane="bottomLeft" state="frozen"/>
      <selection pane="bottomLeft" activeCell="I10" sqref="I10"/>
    </sheetView>
  </sheetViews>
  <sheetFormatPr defaultRowHeight="15"/>
  <cols>
    <col min="1" max="1" width="6.28515625" customWidth="1"/>
    <col min="2" max="2" width="51.42578125" customWidth="1"/>
    <col min="3" max="3" width="8.85546875" customWidth="1"/>
    <col min="4" max="4" width="12.28515625" customWidth="1"/>
    <col min="5" max="5" width="12.85546875" customWidth="1"/>
    <col min="6" max="6" width="10.140625" style="321" customWidth="1"/>
  </cols>
  <sheetData>
    <row r="1" spans="1:10" s="265" customFormat="1" ht="56.25" customHeight="1">
      <c r="A1" s="264"/>
      <c r="B1" s="406" t="s">
        <v>285</v>
      </c>
      <c r="C1" s="406"/>
      <c r="D1" s="406"/>
      <c r="F1" s="318"/>
    </row>
    <row r="2" spans="1:10" s="268" customFormat="1" ht="65.25" customHeight="1">
      <c r="A2" s="266" t="s">
        <v>232</v>
      </c>
      <c r="B2" s="323" t="s">
        <v>233</v>
      </c>
      <c r="C2" s="266" t="s">
        <v>234</v>
      </c>
      <c r="D2" s="323" t="s">
        <v>283</v>
      </c>
      <c r="E2" s="322" t="s">
        <v>282</v>
      </c>
      <c r="F2" s="267" t="s">
        <v>188</v>
      </c>
      <c r="J2" s="356"/>
    </row>
    <row r="3" spans="1:10" s="273" customFormat="1" ht="34.5" customHeight="1">
      <c r="A3" s="269">
        <v>1</v>
      </c>
      <c r="B3" s="270" t="s">
        <v>235</v>
      </c>
      <c r="C3" s="271" t="s">
        <v>213</v>
      </c>
      <c r="D3" s="285">
        <v>1919823.1</v>
      </c>
      <c r="E3" s="286">
        <v>1467882</v>
      </c>
      <c r="F3" s="319">
        <f>E3/D3*100</f>
        <v>76.459232103207839</v>
      </c>
      <c r="G3">
        <f t="shared" ref="G3:G33" si="0">D3/12*9</f>
        <v>1439867.325</v>
      </c>
      <c r="H3">
        <f t="shared" ref="H3:H13" si="1">E3</f>
        <v>1467882</v>
      </c>
      <c r="I3" s="355">
        <f>H3/G3*100</f>
        <v>101.94564280427714</v>
      </c>
    </row>
    <row r="4" spans="1:10" ht="15" customHeight="1">
      <c r="A4" s="269">
        <v>2</v>
      </c>
      <c r="B4" s="270" t="s">
        <v>236</v>
      </c>
      <c r="C4" s="271" t="s">
        <v>213</v>
      </c>
      <c r="D4" s="285">
        <v>4980914.5999999996</v>
      </c>
      <c r="E4" s="285">
        <f t="shared" ref="E4" si="2">E5+E6</f>
        <v>4417934</v>
      </c>
      <c r="F4" s="319">
        <f t="shared" ref="F4:F6" si="3">E4/D4*100</f>
        <v>88.697244477951912</v>
      </c>
      <c r="G4">
        <f t="shared" si="0"/>
        <v>3735685.9499999997</v>
      </c>
      <c r="H4">
        <f t="shared" si="1"/>
        <v>4417934</v>
      </c>
      <c r="I4" s="355">
        <f t="shared" ref="I4:I33" si="4">H4/G4*100</f>
        <v>118.26299263726921</v>
      </c>
    </row>
    <row r="5" spans="1:10" ht="20.25" customHeight="1">
      <c r="A5" s="269" t="s">
        <v>237</v>
      </c>
      <c r="B5" s="274" t="s">
        <v>238</v>
      </c>
      <c r="C5" s="271" t="s">
        <v>213</v>
      </c>
      <c r="D5" s="285">
        <v>3447650</v>
      </c>
      <c r="E5" s="285">
        <v>3167759</v>
      </c>
      <c r="F5" s="328">
        <f t="shared" si="3"/>
        <v>91.881687526286015</v>
      </c>
      <c r="G5">
        <f t="shared" si="0"/>
        <v>2585737.5</v>
      </c>
      <c r="H5">
        <f t="shared" si="1"/>
        <v>3167759</v>
      </c>
      <c r="I5" s="355">
        <f t="shared" si="4"/>
        <v>122.50891670171468</v>
      </c>
    </row>
    <row r="6" spans="1:10" ht="20.25" customHeight="1">
      <c r="A6" s="269" t="s">
        <v>239</v>
      </c>
      <c r="B6" s="274" t="s">
        <v>240</v>
      </c>
      <c r="C6" s="271" t="s">
        <v>213</v>
      </c>
      <c r="D6" s="278">
        <v>1533264.6</v>
      </c>
      <c r="E6" s="285">
        <v>1250175</v>
      </c>
      <c r="F6" s="328">
        <f t="shared" si="3"/>
        <v>81.536807149920492</v>
      </c>
      <c r="G6">
        <f t="shared" si="0"/>
        <v>1149948.45</v>
      </c>
      <c r="H6">
        <f t="shared" si="1"/>
        <v>1250175</v>
      </c>
      <c r="I6" s="355">
        <f t="shared" si="4"/>
        <v>108.71574286656067</v>
      </c>
    </row>
    <row r="7" spans="1:10">
      <c r="A7" s="269">
        <v>5</v>
      </c>
      <c r="B7" s="407" t="s">
        <v>241</v>
      </c>
      <c r="C7" s="407"/>
      <c r="D7" s="407"/>
      <c r="E7" s="276"/>
      <c r="F7" s="329"/>
      <c r="G7">
        <f t="shared" si="0"/>
        <v>0</v>
      </c>
      <c r="H7">
        <f t="shared" si="1"/>
        <v>0</v>
      </c>
      <c r="I7" s="355" t="e">
        <f t="shared" si="4"/>
        <v>#DIV/0!</v>
      </c>
    </row>
    <row r="8" spans="1:10">
      <c r="A8" s="269" t="s">
        <v>242</v>
      </c>
      <c r="B8" s="274" t="s">
        <v>243</v>
      </c>
      <c r="C8" s="271" t="s">
        <v>213</v>
      </c>
      <c r="D8" s="285">
        <v>4681758.3</v>
      </c>
      <c r="E8" s="286">
        <v>3752145</v>
      </c>
      <c r="F8" s="328">
        <f>E8/D8*100</f>
        <v>80.14392797680307</v>
      </c>
      <c r="G8">
        <f t="shared" si="0"/>
        <v>3511318.7249999996</v>
      </c>
      <c r="H8">
        <f t="shared" si="1"/>
        <v>3752145</v>
      </c>
      <c r="I8" s="355">
        <f t="shared" si="4"/>
        <v>106.85857063573745</v>
      </c>
    </row>
    <row r="9" spans="1:10">
      <c r="A9" s="269" t="s">
        <v>244</v>
      </c>
      <c r="B9" s="274" t="s">
        <v>245</v>
      </c>
      <c r="C9" s="271" t="s">
        <v>213</v>
      </c>
      <c r="D9" s="285">
        <v>1156567.8999999999</v>
      </c>
      <c r="E9" s="286">
        <v>3356585</v>
      </c>
      <c r="F9" s="328">
        <f t="shared" ref="F9:F20" si="5">E9/D9*100</f>
        <v>290.21945015074346</v>
      </c>
      <c r="G9">
        <f t="shared" si="0"/>
        <v>867425.92499999993</v>
      </c>
      <c r="H9">
        <f t="shared" si="1"/>
        <v>3356585</v>
      </c>
      <c r="I9" s="355">
        <f t="shared" si="4"/>
        <v>386.95926686765796</v>
      </c>
    </row>
    <row r="10" spans="1:10" ht="24" customHeight="1">
      <c r="A10" s="269">
        <v>6</v>
      </c>
      <c r="B10" s="270" t="s">
        <v>246</v>
      </c>
      <c r="C10" s="271" t="s">
        <v>213</v>
      </c>
      <c r="D10" s="285">
        <v>2741122.5</v>
      </c>
      <c r="E10" s="286">
        <v>2202301</v>
      </c>
      <c r="F10" s="328">
        <f t="shared" si="5"/>
        <v>80.343034650950472</v>
      </c>
      <c r="G10">
        <f t="shared" si="0"/>
        <v>2055841.875</v>
      </c>
      <c r="H10">
        <f t="shared" si="1"/>
        <v>2202301</v>
      </c>
      <c r="I10" s="355">
        <f t="shared" si="4"/>
        <v>107.1240462012673</v>
      </c>
    </row>
    <row r="11" spans="1:10" ht="16.5" customHeight="1">
      <c r="A11" s="277">
        <v>7</v>
      </c>
      <c r="B11" s="270" t="s">
        <v>247</v>
      </c>
      <c r="C11" s="271" t="s">
        <v>248</v>
      </c>
      <c r="D11" s="278">
        <v>14974</v>
      </c>
      <c r="E11" s="286">
        <v>10520</v>
      </c>
      <c r="F11" s="328">
        <f t="shared" si="5"/>
        <v>70.255108855349263</v>
      </c>
      <c r="G11">
        <f t="shared" si="0"/>
        <v>11230.5</v>
      </c>
      <c r="H11">
        <f t="shared" si="1"/>
        <v>10520</v>
      </c>
      <c r="I11" s="355">
        <f t="shared" si="4"/>
        <v>93.673478473799037</v>
      </c>
    </row>
    <row r="12" spans="1:10" ht="22.5" customHeight="1">
      <c r="A12" s="277">
        <v>8</v>
      </c>
      <c r="B12" s="270" t="s">
        <v>249</v>
      </c>
      <c r="C12" s="271" t="s">
        <v>248</v>
      </c>
      <c r="D12" s="275">
        <v>19.2</v>
      </c>
      <c r="E12" s="286">
        <v>18</v>
      </c>
      <c r="F12" s="328">
        <f t="shared" si="5"/>
        <v>93.75</v>
      </c>
      <c r="G12">
        <f t="shared" si="0"/>
        <v>14.399999999999999</v>
      </c>
      <c r="H12">
        <f t="shared" si="1"/>
        <v>18</v>
      </c>
      <c r="I12" s="355">
        <f t="shared" si="4"/>
        <v>125.00000000000003</v>
      </c>
    </row>
    <row r="13" spans="1:10">
      <c r="A13" s="269">
        <v>10</v>
      </c>
      <c r="B13" s="354" t="s">
        <v>250</v>
      </c>
      <c r="C13" s="271" t="s">
        <v>213</v>
      </c>
      <c r="D13" s="285">
        <v>4627719.5999999996</v>
      </c>
      <c r="E13" s="286">
        <v>3852654</v>
      </c>
      <c r="F13" s="328">
        <f t="shared" si="5"/>
        <v>83.251673243123903</v>
      </c>
      <c r="G13">
        <f t="shared" si="0"/>
        <v>3470789.6999999997</v>
      </c>
      <c r="H13">
        <f t="shared" si="1"/>
        <v>3852654</v>
      </c>
      <c r="I13" s="355">
        <f t="shared" si="4"/>
        <v>111.00223099083186</v>
      </c>
    </row>
    <row r="14" spans="1:10">
      <c r="A14" s="269">
        <v>11</v>
      </c>
      <c r="B14" s="354" t="s">
        <v>218</v>
      </c>
      <c r="C14" s="271" t="s">
        <v>213</v>
      </c>
      <c r="D14" s="285">
        <v>960867.8</v>
      </c>
      <c r="E14" s="286">
        <v>732858</v>
      </c>
      <c r="F14" s="328">
        <f t="shared" si="5"/>
        <v>76.270429709477199</v>
      </c>
      <c r="G14">
        <f>D14/12*9</f>
        <v>720650.85</v>
      </c>
      <c r="H14">
        <f>E14</f>
        <v>732858</v>
      </c>
      <c r="I14" s="355">
        <f t="shared" si="4"/>
        <v>101.69390627930295</v>
      </c>
    </row>
    <row r="15" spans="1:10" ht="23.25" customHeight="1">
      <c r="A15" s="277">
        <v>12</v>
      </c>
      <c r="B15" s="354" t="s">
        <v>251</v>
      </c>
      <c r="C15" s="271" t="s">
        <v>213</v>
      </c>
      <c r="D15" s="285">
        <v>3412609.8</v>
      </c>
      <c r="E15" s="286">
        <v>2735959</v>
      </c>
      <c r="F15" s="328">
        <f t="shared" si="5"/>
        <v>80.172043109059814</v>
      </c>
      <c r="G15">
        <f t="shared" si="0"/>
        <v>2559457.3499999996</v>
      </c>
      <c r="H15">
        <f t="shared" ref="H15:H34" si="6">E15</f>
        <v>2735959</v>
      </c>
      <c r="I15" s="355">
        <f t="shared" si="4"/>
        <v>106.89605747874644</v>
      </c>
    </row>
    <row r="16" spans="1:10" ht="27" customHeight="1">
      <c r="A16" s="277">
        <v>13</v>
      </c>
      <c r="B16" s="270" t="s">
        <v>252</v>
      </c>
      <c r="C16" s="271" t="s">
        <v>253</v>
      </c>
      <c r="D16" s="278">
        <v>745</v>
      </c>
      <c r="E16" s="286">
        <v>725</v>
      </c>
      <c r="F16" s="328">
        <f t="shared" si="5"/>
        <v>97.31543624161074</v>
      </c>
      <c r="G16">
        <f t="shared" si="0"/>
        <v>558.75</v>
      </c>
      <c r="H16">
        <f t="shared" si="6"/>
        <v>725</v>
      </c>
      <c r="I16" s="355">
        <f t="shared" si="4"/>
        <v>129.75391498881433</v>
      </c>
    </row>
    <row r="17" spans="1:11">
      <c r="A17" s="277" t="s">
        <v>254</v>
      </c>
      <c r="B17" s="274" t="s">
        <v>255</v>
      </c>
      <c r="C17" s="271" t="s">
        <v>253</v>
      </c>
      <c r="D17" s="278">
        <v>78</v>
      </c>
      <c r="E17" s="286">
        <v>78</v>
      </c>
      <c r="F17" s="328">
        <f t="shared" si="5"/>
        <v>100</v>
      </c>
      <c r="G17">
        <f t="shared" si="0"/>
        <v>58.5</v>
      </c>
      <c r="H17">
        <f t="shared" si="6"/>
        <v>78</v>
      </c>
      <c r="I17" s="355">
        <f t="shared" si="4"/>
        <v>133.33333333333331</v>
      </c>
    </row>
    <row r="18" spans="1:11">
      <c r="A18" s="277" t="s">
        <v>256</v>
      </c>
      <c r="B18" s="274" t="s">
        <v>257</v>
      </c>
      <c r="C18" s="271" t="s">
        <v>253</v>
      </c>
      <c r="D18" s="278">
        <v>667</v>
      </c>
      <c r="E18" s="286">
        <v>647</v>
      </c>
      <c r="F18" s="328">
        <f t="shared" si="5"/>
        <v>97.001499250374806</v>
      </c>
      <c r="G18">
        <f t="shared" si="0"/>
        <v>500.25</v>
      </c>
      <c r="H18">
        <f t="shared" si="6"/>
        <v>647</v>
      </c>
      <c r="I18" s="355">
        <f t="shared" si="4"/>
        <v>129.33533233383307</v>
      </c>
    </row>
    <row r="19" spans="1:11" ht="28.5" customHeight="1">
      <c r="A19" s="277">
        <v>15</v>
      </c>
      <c r="B19" s="279" t="s">
        <v>258</v>
      </c>
      <c r="C19" s="280" t="s">
        <v>213</v>
      </c>
      <c r="D19" s="278">
        <v>109940.4</v>
      </c>
      <c r="E19" s="286">
        <v>85495.6</v>
      </c>
      <c r="F19" s="328">
        <f t="shared" si="5"/>
        <v>77.765407438939647</v>
      </c>
      <c r="G19">
        <f t="shared" si="0"/>
        <v>82455.299999999988</v>
      </c>
      <c r="H19">
        <f t="shared" si="6"/>
        <v>85495.6</v>
      </c>
      <c r="I19" s="355">
        <f t="shared" si="4"/>
        <v>103.68720991858622</v>
      </c>
      <c r="J19" s="357">
        <v>1071</v>
      </c>
      <c r="K19" s="358">
        <v>258</v>
      </c>
    </row>
    <row r="20" spans="1:11" ht="33.75" customHeight="1">
      <c r="A20" s="277">
        <v>16</v>
      </c>
      <c r="B20" s="279" t="s">
        <v>259</v>
      </c>
      <c r="C20" s="280" t="s">
        <v>188</v>
      </c>
      <c r="D20" s="275">
        <v>50.7</v>
      </c>
      <c r="E20" s="286">
        <v>45.9</v>
      </c>
      <c r="F20" s="328">
        <f t="shared" si="5"/>
        <v>90.532544378698219</v>
      </c>
      <c r="G20">
        <f t="shared" si="0"/>
        <v>38.025000000000006</v>
      </c>
      <c r="H20">
        <f t="shared" si="6"/>
        <v>45.9</v>
      </c>
      <c r="I20" s="355">
        <f t="shared" si="4"/>
        <v>120.71005917159761</v>
      </c>
      <c r="K20">
        <f>70039+1071-258</f>
        <v>70852</v>
      </c>
    </row>
    <row r="21" spans="1:11">
      <c r="A21" s="277">
        <v>17</v>
      </c>
      <c r="B21" s="408" t="s">
        <v>260</v>
      </c>
      <c r="C21" s="408"/>
      <c r="D21" s="408"/>
      <c r="E21" s="276"/>
      <c r="F21" s="329"/>
      <c r="G21">
        <f t="shared" si="0"/>
        <v>0</v>
      </c>
      <c r="H21">
        <f t="shared" si="6"/>
        <v>0</v>
      </c>
      <c r="I21" s="355" t="e">
        <f t="shared" si="4"/>
        <v>#DIV/0!</v>
      </c>
    </row>
    <row r="22" spans="1:11" ht="22.5" customHeight="1">
      <c r="A22" s="277" t="s">
        <v>261</v>
      </c>
      <c r="B22" s="281" t="s">
        <v>262</v>
      </c>
      <c r="C22" s="280" t="s">
        <v>171</v>
      </c>
      <c r="D22" s="278">
        <v>17043.400000000001</v>
      </c>
      <c r="E22" s="278">
        <v>18177.7</v>
      </c>
      <c r="F22" s="328">
        <f t="shared" ref="F22:F33" si="7">E22/D22*100</f>
        <v>106.65536219298966</v>
      </c>
      <c r="G22">
        <f t="shared" si="0"/>
        <v>12782.550000000001</v>
      </c>
      <c r="H22">
        <f t="shared" si="6"/>
        <v>18177.7</v>
      </c>
      <c r="I22" s="355">
        <f t="shared" si="4"/>
        <v>142.20714959065288</v>
      </c>
    </row>
    <row r="23" spans="1:11" ht="23.25" customHeight="1">
      <c r="A23" s="277" t="s">
        <v>263</v>
      </c>
      <c r="B23" s="281" t="s">
        <v>264</v>
      </c>
      <c r="C23" s="280" t="s">
        <v>171</v>
      </c>
      <c r="D23" s="278">
        <v>18200</v>
      </c>
      <c r="E23" s="287">
        <v>19315</v>
      </c>
      <c r="F23" s="328">
        <f t="shared" si="7"/>
        <v>106.12637362637362</v>
      </c>
      <c r="G23">
        <f t="shared" si="0"/>
        <v>13650</v>
      </c>
      <c r="H23">
        <f t="shared" si="6"/>
        <v>19315</v>
      </c>
      <c r="I23" s="355">
        <f t="shared" si="4"/>
        <v>141.5018315018315</v>
      </c>
    </row>
    <row r="24" spans="1:11" ht="22.5" customHeight="1">
      <c r="A24" s="277" t="s">
        <v>265</v>
      </c>
      <c r="B24" s="281" t="s">
        <v>266</v>
      </c>
      <c r="C24" s="280" t="s">
        <v>171</v>
      </c>
      <c r="D24" s="278">
        <v>19100</v>
      </c>
      <c r="E24" s="287">
        <v>17333</v>
      </c>
      <c r="F24" s="328">
        <f t="shared" si="7"/>
        <v>90.748691099476446</v>
      </c>
      <c r="G24">
        <f t="shared" si="0"/>
        <v>14325</v>
      </c>
      <c r="H24">
        <f t="shared" si="6"/>
        <v>17333</v>
      </c>
      <c r="I24" s="355">
        <f t="shared" si="4"/>
        <v>120.99825479930193</v>
      </c>
    </row>
    <row r="25" spans="1:11" ht="25.5" customHeight="1">
      <c r="A25" s="277" t="s">
        <v>267</v>
      </c>
      <c r="B25" s="281" t="s">
        <v>268</v>
      </c>
      <c r="C25" s="280" t="s">
        <v>171</v>
      </c>
      <c r="D25" s="278">
        <v>12750</v>
      </c>
      <c r="E25" s="288">
        <v>12886.09</v>
      </c>
      <c r="F25" s="328">
        <f t="shared" si="7"/>
        <v>101.06737254901961</v>
      </c>
      <c r="G25">
        <f t="shared" si="0"/>
        <v>9562.5</v>
      </c>
      <c r="H25">
        <f t="shared" si="6"/>
        <v>12886.09</v>
      </c>
      <c r="I25" s="355">
        <f t="shared" si="4"/>
        <v>134.75649673202614</v>
      </c>
    </row>
    <row r="26" spans="1:11" ht="24" customHeight="1">
      <c r="A26" s="277" t="s">
        <v>269</v>
      </c>
      <c r="B26" s="281" t="s">
        <v>270</v>
      </c>
      <c r="C26" s="280" t="s">
        <v>171</v>
      </c>
      <c r="D26" s="278">
        <v>14115</v>
      </c>
      <c r="E26" s="287">
        <v>18661</v>
      </c>
      <c r="F26" s="328">
        <f t="shared" si="7"/>
        <v>132.20687212185618</v>
      </c>
      <c r="G26">
        <f t="shared" si="0"/>
        <v>10586.25</v>
      </c>
      <c r="H26">
        <f t="shared" si="6"/>
        <v>18661</v>
      </c>
      <c r="I26" s="355">
        <f t="shared" si="4"/>
        <v>176.27582949580824</v>
      </c>
    </row>
    <row r="27" spans="1:11" ht="14.25" customHeight="1">
      <c r="A27" s="277">
        <v>18</v>
      </c>
      <c r="B27" s="279" t="s">
        <v>271</v>
      </c>
      <c r="C27" s="280" t="s">
        <v>253</v>
      </c>
      <c r="D27" s="278">
        <v>1218</v>
      </c>
      <c r="E27" s="287">
        <v>1187</v>
      </c>
      <c r="F27" s="328">
        <f t="shared" si="7"/>
        <v>97.454844006568138</v>
      </c>
      <c r="G27">
        <f t="shared" si="0"/>
        <v>913.5</v>
      </c>
      <c r="H27">
        <f t="shared" si="6"/>
        <v>1187</v>
      </c>
      <c r="I27" s="355">
        <f t="shared" si="4"/>
        <v>129.93979200875751</v>
      </c>
    </row>
    <row r="28" spans="1:11">
      <c r="A28" s="277" t="s">
        <v>272</v>
      </c>
      <c r="B28" s="281" t="s">
        <v>273</v>
      </c>
      <c r="C28" s="280" t="s">
        <v>253</v>
      </c>
      <c r="D28" s="275">
        <v>100</v>
      </c>
      <c r="E28" s="288"/>
      <c r="F28" s="328">
        <f t="shared" si="7"/>
        <v>0</v>
      </c>
      <c r="G28">
        <f t="shared" si="0"/>
        <v>75</v>
      </c>
      <c r="H28">
        <f t="shared" si="6"/>
        <v>0</v>
      </c>
      <c r="I28" s="355">
        <f t="shared" si="4"/>
        <v>0</v>
      </c>
    </row>
    <row r="29" spans="1:11" ht="16.5" customHeight="1">
      <c r="A29" s="277" t="s">
        <v>274</v>
      </c>
      <c r="B29" s="281" t="s">
        <v>275</v>
      </c>
      <c r="C29" s="280" t="s">
        <v>253</v>
      </c>
      <c r="D29" s="275">
        <v>100</v>
      </c>
      <c r="E29" s="289">
        <v>180</v>
      </c>
      <c r="F29" s="328">
        <f t="shared" si="7"/>
        <v>180</v>
      </c>
      <c r="G29">
        <f t="shared" si="0"/>
        <v>75</v>
      </c>
      <c r="H29">
        <f t="shared" si="6"/>
        <v>180</v>
      </c>
      <c r="I29" s="355">
        <f t="shared" si="4"/>
        <v>240</v>
      </c>
    </row>
    <row r="30" spans="1:11" ht="45" customHeight="1">
      <c r="A30" s="277">
        <v>22</v>
      </c>
      <c r="B30" s="279" t="s">
        <v>276</v>
      </c>
      <c r="C30" s="280" t="s">
        <v>188</v>
      </c>
      <c r="D30" s="275">
        <v>18.5</v>
      </c>
      <c r="E30" s="272">
        <v>17.2</v>
      </c>
      <c r="F30" s="328">
        <f t="shared" si="7"/>
        <v>92.972972972972968</v>
      </c>
      <c r="G30">
        <f t="shared" si="0"/>
        <v>13.875</v>
      </c>
      <c r="H30">
        <f t="shared" si="6"/>
        <v>17.2</v>
      </c>
      <c r="I30" s="355">
        <f t="shared" si="4"/>
        <v>123.96396396396396</v>
      </c>
    </row>
    <row r="31" spans="1:11" ht="30" customHeight="1">
      <c r="A31" s="277">
        <v>23</v>
      </c>
      <c r="B31" s="279" t="s">
        <v>277</v>
      </c>
      <c r="C31" s="280" t="s">
        <v>188</v>
      </c>
      <c r="D31" s="275">
        <v>35.5</v>
      </c>
      <c r="E31" s="272">
        <v>30.6</v>
      </c>
      <c r="F31" s="328">
        <f t="shared" si="7"/>
        <v>86.197183098591552</v>
      </c>
      <c r="G31">
        <f t="shared" si="0"/>
        <v>26.625</v>
      </c>
      <c r="H31">
        <f t="shared" si="6"/>
        <v>30.6</v>
      </c>
      <c r="I31" s="355">
        <f t="shared" si="4"/>
        <v>114.92957746478874</v>
      </c>
    </row>
    <row r="32" spans="1:11" ht="42" customHeight="1">
      <c r="A32" s="277">
        <v>27</v>
      </c>
      <c r="B32" s="281" t="s">
        <v>278</v>
      </c>
      <c r="C32" s="280" t="s">
        <v>188</v>
      </c>
      <c r="D32" s="275">
        <v>35</v>
      </c>
      <c r="E32" s="288">
        <v>33.299999999999997</v>
      </c>
      <c r="F32" s="328">
        <f t="shared" si="7"/>
        <v>95.142857142857139</v>
      </c>
      <c r="G32">
        <f t="shared" si="0"/>
        <v>26.25</v>
      </c>
      <c r="H32">
        <f t="shared" si="6"/>
        <v>33.299999999999997</v>
      </c>
      <c r="I32" s="355">
        <f t="shared" si="4"/>
        <v>126.85714285714285</v>
      </c>
    </row>
    <row r="33" spans="1:9" ht="54.75" customHeight="1">
      <c r="A33" s="277">
        <v>30</v>
      </c>
      <c r="B33" s="279" t="s">
        <v>279</v>
      </c>
      <c r="C33" s="280" t="s">
        <v>188</v>
      </c>
      <c r="D33" s="275">
        <v>54.4</v>
      </c>
      <c r="E33" s="288">
        <v>49.41</v>
      </c>
      <c r="F33" s="328">
        <f t="shared" si="7"/>
        <v>90.827205882352928</v>
      </c>
      <c r="G33">
        <f t="shared" si="0"/>
        <v>40.799999999999997</v>
      </c>
      <c r="H33">
        <f t="shared" si="6"/>
        <v>49.41</v>
      </c>
      <c r="I33" s="355">
        <f t="shared" si="4"/>
        <v>121.10294117647058</v>
      </c>
    </row>
    <row r="34" spans="1:9" s="282" customFormat="1" ht="20.25" customHeight="1">
      <c r="A34"/>
      <c r="B34" s="409" t="s">
        <v>280</v>
      </c>
      <c r="C34" s="409"/>
      <c r="D34"/>
      <c r="E34"/>
      <c r="F34" s="320"/>
      <c r="G34"/>
      <c r="H34">
        <f t="shared" si="6"/>
        <v>0</v>
      </c>
      <c r="I34" s="355" t="e">
        <f t="shared" ref="I34" si="8">H34/G34</f>
        <v>#DIV/0!</v>
      </c>
    </row>
    <row r="35" spans="1:9" s="282" customFormat="1" ht="20.25" customHeight="1">
      <c r="A35"/>
      <c r="B35" s="283"/>
      <c r="C35" s="283"/>
      <c r="D35"/>
      <c r="E35"/>
      <c r="F35" s="321"/>
      <c r="G35"/>
    </row>
    <row r="36" spans="1:9" s="282" customFormat="1" ht="20.25" customHeight="1">
      <c r="A36"/>
      <c r="B36" s="283"/>
      <c r="C36" s="283"/>
      <c r="D36"/>
      <c r="E36"/>
      <c r="F36" s="321"/>
      <c r="G36"/>
    </row>
    <row r="38" spans="1:9" s="282" customFormat="1" ht="16.5" customHeight="1">
      <c r="A38"/>
      <c r="B38" s="410" t="s">
        <v>281</v>
      </c>
      <c r="C38" s="410"/>
      <c r="D38" s="410"/>
      <c r="E38"/>
      <c r="F38" s="321"/>
      <c r="G38"/>
    </row>
    <row r="39" spans="1:9" s="282" customFormat="1" ht="15.75">
      <c r="A39"/>
      <c r="B39" s="284"/>
      <c r="C39"/>
      <c r="D39"/>
      <c r="E39"/>
      <c r="F39" s="321"/>
      <c r="G39"/>
    </row>
    <row r="40" spans="1:9" s="282" customFormat="1" ht="62.25" customHeight="1">
      <c r="A40"/>
      <c r="B40" s="405"/>
      <c r="C40" s="405"/>
      <c r="D40"/>
      <c r="E40"/>
      <c r="F40" s="321"/>
      <c r="G40"/>
    </row>
  </sheetData>
  <mergeCells count="6">
    <mergeCell ref="B40:C40"/>
    <mergeCell ref="B1:D1"/>
    <mergeCell ref="B7:D7"/>
    <mergeCell ref="B21:D21"/>
    <mergeCell ref="B34:C34"/>
    <mergeCell ref="B38:D38"/>
  </mergeCells>
  <pageMargins left="0.27559055118110237" right="0.23622047244094491" top="0.55118110236220474" bottom="0.55118110236220474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87"/>
  <sheetViews>
    <sheetView view="pageBreakPreview" zoomScaleNormal="85" zoomScaleSheetLayoutView="100" workbookViewId="0">
      <pane ySplit="6" topLeftCell="A7" activePane="bottomLeft" state="frozen"/>
      <selection pane="bottomLeft" sqref="A1:N1"/>
    </sheetView>
  </sheetViews>
  <sheetFormatPr defaultColWidth="8.85546875" defaultRowHeight="12"/>
  <cols>
    <col min="1" max="1" width="44.42578125" style="1" customWidth="1"/>
    <col min="2" max="2" width="12" style="1" customWidth="1"/>
    <col min="3" max="3" width="9.42578125" style="95" hidden="1" customWidth="1"/>
    <col min="4" max="4" width="5.140625" style="96" hidden="1" customWidth="1"/>
    <col min="5" max="5" width="6.28515625" style="97" hidden="1" customWidth="1"/>
    <col min="6" max="6" width="8.42578125" style="95" hidden="1" customWidth="1"/>
    <col min="7" max="7" width="10.85546875" style="1" hidden="1" customWidth="1"/>
    <col min="8" max="8" width="0.140625" style="25" customWidth="1"/>
    <col min="9" max="10" width="8.7109375" style="25" customWidth="1"/>
    <col min="11" max="14" width="10" style="25" customWidth="1"/>
    <col min="15" max="15" width="10" style="1" customWidth="1"/>
    <col min="16" max="16" width="12.28515625" style="1" customWidth="1"/>
    <col min="17" max="18" width="7.140625" style="1" customWidth="1"/>
    <col min="19" max="257" width="8.85546875" style="1"/>
    <col min="258" max="258" width="50.28515625" style="1" customWidth="1"/>
    <col min="259" max="259" width="12.5703125" style="1" customWidth="1"/>
    <col min="260" max="264" width="0" style="1" hidden="1" customWidth="1"/>
    <col min="265" max="266" width="9.7109375" style="1" customWidth="1"/>
    <col min="267" max="268" width="10.7109375" style="1" customWidth="1"/>
    <col min="269" max="270" width="10.42578125" style="1" customWidth="1"/>
    <col min="271" max="271" width="7.140625" style="1" customWidth="1"/>
    <col min="272" max="272" width="12.28515625" style="1" customWidth="1"/>
    <col min="273" max="274" width="7.140625" style="1" customWidth="1"/>
    <col min="275" max="513" width="8.85546875" style="1"/>
    <col min="514" max="514" width="50.28515625" style="1" customWidth="1"/>
    <col min="515" max="515" width="12.5703125" style="1" customWidth="1"/>
    <col min="516" max="520" width="0" style="1" hidden="1" customWidth="1"/>
    <col min="521" max="522" width="9.7109375" style="1" customWidth="1"/>
    <col min="523" max="524" width="10.7109375" style="1" customWidth="1"/>
    <col min="525" max="526" width="10.42578125" style="1" customWidth="1"/>
    <col min="527" max="527" width="7.140625" style="1" customWidth="1"/>
    <col min="528" max="528" width="12.28515625" style="1" customWidth="1"/>
    <col min="529" max="530" width="7.140625" style="1" customWidth="1"/>
    <col min="531" max="769" width="8.85546875" style="1"/>
    <col min="770" max="770" width="50.28515625" style="1" customWidth="1"/>
    <col min="771" max="771" width="12.5703125" style="1" customWidth="1"/>
    <col min="772" max="776" width="0" style="1" hidden="1" customWidth="1"/>
    <col min="777" max="778" width="9.7109375" style="1" customWidth="1"/>
    <col min="779" max="780" width="10.7109375" style="1" customWidth="1"/>
    <col min="781" max="782" width="10.42578125" style="1" customWidth="1"/>
    <col min="783" max="783" width="7.140625" style="1" customWidth="1"/>
    <col min="784" max="784" width="12.28515625" style="1" customWidth="1"/>
    <col min="785" max="786" width="7.140625" style="1" customWidth="1"/>
    <col min="787" max="1025" width="8.85546875" style="1"/>
    <col min="1026" max="1026" width="50.28515625" style="1" customWidth="1"/>
    <col min="1027" max="1027" width="12.5703125" style="1" customWidth="1"/>
    <col min="1028" max="1032" width="0" style="1" hidden="1" customWidth="1"/>
    <col min="1033" max="1034" width="9.7109375" style="1" customWidth="1"/>
    <col min="1035" max="1036" width="10.7109375" style="1" customWidth="1"/>
    <col min="1037" max="1038" width="10.42578125" style="1" customWidth="1"/>
    <col min="1039" max="1039" width="7.140625" style="1" customWidth="1"/>
    <col min="1040" max="1040" width="12.28515625" style="1" customWidth="1"/>
    <col min="1041" max="1042" width="7.140625" style="1" customWidth="1"/>
    <col min="1043" max="1281" width="8.85546875" style="1"/>
    <col min="1282" max="1282" width="50.28515625" style="1" customWidth="1"/>
    <col min="1283" max="1283" width="12.5703125" style="1" customWidth="1"/>
    <col min="1284" max="1288" width="0" style="1" hidden="1" customWidth="1"/>
    <col min="1289" max="1290" width="9.7109375" style="1" customWidth="1"/>
    <col min="1291" max="1292" width="10.7109375" style="1" customWidth="1"/>
    <col min="1293" max="1294" width="10.42578125" style="1" customWidth="1"/>
    <col min="1295" max="1295" width="7.140625" style="1" customWidth="1"/>
    <col min="1296" max="1296" width="12.28515625" style="1" customWidth="1"/>
    <col min="1297" max="1298" width="7.140625" style="1" customWidth="1"/>
    <col min="1299" max="1537" width="8.85546875" style="1"/>
    <col min="1538" max="1538" width="50.28515625" style="1" customWidth="1"/>
    <col min="1539" max="1539" width="12.5703125" style="1" customWidth="1"/>
    <col min="1540" max="1544" width="0" style="1" hidden="1" customWidth="1"/>
    <col min="1545" max="1546" width="9.7109375" style="1" customWidth="1"/>
    <col min="1547" max="1548" width="10.7109375" style="1" customWidth="1"/>
    <col min="1549" max="1550" width="10.42578125" style="1" customWidth="1"/>
    <col min="1551" max="1551" width="7.140625" style="1" customWidth="1"/>
    <col min="1552" max="1552" width="12.28515625" style="1" customWidth="1"/>
    <col min="1553" max="1554" width="7.140625" style="1" customWidth="1"/>
    <col min="1555" max="1793" width="8.85546875" style="1"/>
    <col min="1794" max="1794" width="50.28515625" style="1" customWidth="1"/>
    <col min="1795" max="1795" width="12.5703125" style="1" customWidth="1"/>
    <col min="1796" max="1800" width="0" style="1" hidden="1" customWidth="1"/>
    <col min="1801" max="1802" width="9.7109375" style="1" customWidth="1"/>
    <col min="1803" max="1804" width="10.7109375" style="1" customWidth="1"/>
    <col min="1805" max="1806" width="10.42578125" style="1" customWidth="1"/>
    <col min="1807" max="1807" width="7.140625" style="1" customWidth="1"/>
    <col min="1808" max="1808" width="12.28515625" style="1" customWidth="1"/>
    <col min="1809" max="1810" width="7.140625" style="1" customWidth="1"/>
    <col min="1811" max="2049" width="8.85546875" style="1"/>
    <col min="2050" max="2050" width="50.28515625" style="1" customWidth="1"/>
    <col min="2051" max="2051" width="12.5703125" style="1" customWidth="1"/>
    <col min="2052" max="2056" width="0" style="1" hidden="1" customWidth="1"/>
    <col min="2057" max="2058" width="9.7109375" style="1" customWidth="1"/>
    <col min="2059" max="2060" width="10.7109375" style="1" customWidth="1"/>
    <col min="2061" max="2062" width="10.42578125" style="1" customWidth="1"/>
    <col min="2063" max="2063" width="7.140625" style="1" customWidth="1"/>
    <col min="2064" max="2064" width="12.28515625" style="1" customWidth="1"/>
    <col min="2065" max="2066" width="7.140625" style="1" customWidth="1"/>
    <col min="2067" max="2305" width="8.85546875" style="1"/>
    <col min="2306" max="2306" width="50.28515625" style="1" customWidth="1"/>
    <col min="2307" max="2307" width="12.5703125" style="1" customWidth="1"/>
    <col min="2308" max="2312" width="0" style="1" hidden="1" customWidth="1"/>
    <col min="2313" max="2314" width="9.7109375" style="1" customWidth="1"/>
    <col min="2315" max="2316" width="10.7109375" style="1" customWidth="1"/>
    <col min="2317" max="2318" width="10.42578125" style="1" customWidth="1"/>
    <col min="2319" max="2319" width="7.140625" style="1" customWidth="1"/>
    <col min="2320" max="2320" width="12.28515625" style="1" customWidth="1"/>
    <col min="2321" max="2322" width="7.140625" style="1" customWidth="1"/>
    <col min="2323" max="2561" width="8.85546875" style="1"/>
    <col min="2562" max="2562" width="50.28515625" style="1" customWidth="1"/>
    <col min="2563" max="2563" width="12.5703125" style="1" customWidth="1"/>
    <col min="2564" max="2568" width="0" style="1" hidden="1" customWidth="1"/>
    <col min="2569" max="2570" width="9.7109375" style="1" customWidth="1"/>
    <col min="2571" max="2572" width="10.7109375" style="1" customWidth="1"/>
    <col min="2573" max="2574" width="10.42578125" style="1" customWidth="1"/>
    <col min="2575" max="2575" width="7.140625" style="1" customWidth="1"/>
    <col min="2576" max="2576" width="12.28515625" style="1" customWidth="1"/>
    <col min="2577" max="2578" width="7.140625" style="1" customWidth="1"/>
    <col min="2579" max="2817" width="8.85546875" style="1"/>
    <col min="2818" max="2818" width="50.28515625" style="1" customWidth="1"/>
    <col min="2819" max="2819" width="12.5703125" style="1" customWidth="1"/>
    <col min="2820" max="2824" width="0" style="1" hidden="1" customWidth="1"/>
    <col min="2825" max="2826" width="9.7109375" style="1" customWidth="1"/>
    <col min="2827" max="2828" width="10.7109375" style="1" customWidth="1"/>
    <col min="2829" max="2830" width="10.42578125" style="1" customWidth="1"/>
    <col min="2831" max="2831" width="7.140625" style="1" customWidth="1"/>
    <col min="2832" max="2832" width="12.28515625" style="1" customWidth="1"/>
    <col min="2833" max="2834" width="7.140625" style="1" customWidth="1"/>
    <col min="2835" max="3073" width="8.85546875" style="1"/>
    <col min="3074" max="3074" width="50.28515625" style="1" customWidth="1"/>
    <col min="3075" max="3075" width="12.5703125" style="1" customWidth="1"/>
    <col min="3076" max="3080" width="0" style="1" hidden="1" customWidth="1"/>
    <col min="3081" max="3082" width="9.7109375" style="1" customWidth="1"/>
    <col min="3083" max="3084" width="10.7109375" style="1" customWidth="1"/>
    <col min="3085" max="3086" width="10.42578125" style="1" customWidth="1"/>
    <col min="3087" max="3087" width="7.140625" style="1" customWidth="1"/>
    <col min="3088" max="3088" width="12.28515625" style="1" customWidth="1"/>
    <col min="3089" max="3090" width="7.140625" style="1" customWidth="1"/>
    <col min="3091" max="3329" width="8.85546875" style="1"/>
    <col min="3330" max="3330" width="50.28515625" style="1" customWidth="1"/>
    <col min="3331" max="3331" width="12.5703125" style="1" customWidth="1"/>
    <col min="3332" max="3336" width="0" style="1" hidden="1" customWidth="1"/>
    <col min="3337" max="3338" width="9.7109375" style="1" customWidth="1"/>
    <col min="3339" max="3340" width="10.7109375" style="1" customWidth="1"/>
    <col min="3341" max="3342" width="10.42578125" style="1" customWidth="1"/>
    <col min="3343" max="3343" width="7.140625" style="1" customWidth="1"/>
    <col min="3344" max="3344" width="12.28515625" style="1" customWidth="1"/>
    <col min="3345" max="3346" width="7.140625" style="1" customWidth="1"/>
    <col min="3347" max="3585" width="8.85546875" style="1"/>
    <col min="3586" max="3586" width="50.28515625" style="1" customWidth="1"/>
    <col min="3587" max="3587" width="12.5703125" style="1" customWidth="1"/>
    <col min="3588" max="3592" width="0" style="1" hidden="1" customWidth="1"/>
    <col min="3593" max="3594" width="9.7109375" style="1" customWidth="1"/>
    <col min="3595" max="3596" width="10.7109375" style="1" customWidth="1"/>
    <col min="3597" max="3598" width="10.42578125" style="1" customWidth="1"/>
    <col min="3599" max="3599" width="7.140625" style="1" customWidth="1"/>
    <col min="3600" max="3600" width="12.28515625" style="1" customWidth="1"/>
    <col min="3601" max="3602" width="7.140625" style="1" customWidth="1"/>
    <col min="3603" max="3841" width="8.85546875" style="1"/>
    <col min="3842" max="3842" width="50.28515625" style="1" customWidth="1"/>
    <col min="3843" max="3843" width="12.5703125" style="1" customWidth="1"/>
    <col min="3844" max="3848" width="0" style="1" hidden="1" customWidth="1"/>
    <col min="3849" max="3850" width="9.7109375" style="1" customWidth="1"/>
    <col min="3851" max="3852" width="10.7109375" style="1" customWidth="1"/>
    <col min="3853" max="3854" width="10.42578125" style="1" customWidth="1"/>
    <col min="3855" max="3855" width="7.140625" style="1" customWidth="1"/>
    <col min="3856" max="3856" width="12.28515625" style="1" customWidth="1"/>
    <col min="3857" max="3858" width="7.140625" style="1" customWidth="1"/>
    <col min="3859" max="4097" width="8.85546875" style="1"/>
    <col min="4098" max="4098" width="50.28515625" style="1" customWidth="1"/>
    <col min="4099" max="4099" width="12.5703125" style="1" customWidth="1"/>
    <col min="4100" max="4104" width="0" style="1" hidden="1" customWidth="1"/>
    <col min="4105" max="4106" width="9.7109375" style="1" customWidth="1"/>
    <col min="4107" max="4108" width="10.7109375" style="1" customWidth="1"/>
    <col min="4109" max="4110" width="10.42578125" style="1" customWidth="1"/>
    <col min="4111" max="4111" width="7.140625" style="1" customWidth="1"/>
    <col min="4112" max="4112" width="12.28515625" style="1" customWidth="1"/>
    <col min="4113" max="4114" width="7.140625" style="1" customWidth="1"/>
    <col min="4115" max="4353" width="8.85546875" style="1"/>
    <col min="4354" max="4354" width="50.28515625" style="1" customWidth="1"/>
    <col min="4355" max="4355" width="12.5703125" style="1" customWidth="1"/>
    <col min="4356" max="4360" width="0" style="1" hidden="1" customWidth="1"/>
    <col min="4361" max="4362" width="9.7109375" style="1" customWidth="1"/>
    <col min="4363" max="4364" width="10.7109375" style="1" customWidth="1"/>
    <col min="4365" max="4366" width="10.42578125" style="1" customWidth="1"/>
    <col min="4367" max="4367" width="7.140625" style="1" customWidth="1"/>
    <col min="4368" max="4368" width="12.28515625" style="1" customWidth="1"/>
    <col min="4369" max="4370" width="7.140625" style="1" customWidth="1"/>
    <col min="4371" max="4609" width="8.85546875" style="1"/>
    <col min="4610" max="4610" width="50.28515625" style="1" customWidth="1"/>
    <col min="4611" max="4611" width="12.5703125" style="1" customWidth="1"/>
    <col min="4612" max="4616" width="0" style="1" hidden="1" customWidth="1"/>
    <col min="4617" max="4618" width="9.7109375" style="1" customWidth="1"/>
    <col min="4619" max="4620" width="10.7109375" style="1" customWidth="1"/>
    <col min="4621" max="4622" width="10.42578125" style="1" customWidth="1"/>
    <col min="4623" max="4623" width="7.140625" style="1" customWidth="1"/>
    <col min="4624" max="4624" width="12.28515625" style="1" customWidth="1"/>
    <col min="4625" max="4626" width="7.140625" style="1" customWidth="1"/>
    <col min="4627" max="4865" width="8.85546875" style="1"/>
    <col min="4866" max="4866" width="50.28515625" style="1" customWidth="1"/>
    <col min="4867" max="4867" width="12.5703125" style="1" customWidth="1"/>
    <col min="4868" max="4872" width="0" style="1" hidden="1" customWidth="1"/>
    <col min="4873" max="4874" width="9.7109375" style="1" customWidth="1"/>
    <col min="4875" max="4876" width="10.7109375" style="1" customWidth="1"/>
    <col min="4877" max="4878" width="10.42578125" style="1" customWidth="1"/>
    <col min="4879" max="4879" width="7.140625" style="1" customWidth="1"/>
    <col min="4880" max="4880" width="12.28515625" style="1" customWidth="1"/>
    <col min="4881" max="4882" width="7.140625" style="1" customWidth="1"/>
    <col min="4883" max="5121" width="8.85546875" style="1"/>
    <col min="5122" max="5122" width="50.28515625" style="1" customWidth="1"/>
    <col min="5123" max="5123" width="12.5703125" style="1" customWidth="1"/>
    <col min="5124" max="5128" width="0" style="1" hidden="1" customWidth="1"/>
    <col min="5129" max="5130" width="9.7109375" style="1" customWidth="1"/>
    <col min="5131" max="5132" width="10.7109375" style="1" customWidth="1"/>
    <col min="5133" max="5134" width="10.42578125" style="1" customWidth="1"/>
    <col min="5135" max="5135" width="7.140625" style="1" customWidth="1"/>
    <col min="5136" max="5136" width="12.28515625" style="1" customWidth="1"/>
    <col min="5137" max="5138" width="7.140625" style="1" customWidth="1"/>
    <col min="5139" max="5377" width="8.85546875" style="1"/>
    <col min="5378" max="5378" width="50.28515625" style="1" customWidth="1"/>
    <col min="5379" max="5379" width="12.5703125" style="1" customWidth="1"/>
    <col min="5380" max="5384" width="0" style="1" hidden="1" customWidth="1"/>
    <col min="5385" max="5386" width="9.7109375" style="1" customWidth="1"/>
    <col min="5387" max="5388" width="10.7109375" style="1" customWidth="1"/>
    <col min="5389" max="5390" width="10.42578125" style="1" customWidth="1"/>
    <col min="5391" max="5391" width="7.140625" style="1" customWidth="1"/>
    <col min="5392" max="5392" width="12.28515625" style="1" customWidth="1"/>
    <col min="5393" max="5394" width="7.140625" style="1" customWidth="1"/>
    <col min="5395" max="5633" width="8.85546875" style="1"/>
    <col min="5634" max="5634" width="50.28515625" style="1" customWidth="1"/>
    <col min="5635" max="5635" width="12.5703125" style="1" customWidth="1"/>
    <col min="5636" max="5640" width="0" style="1" hidden="1" customWidth="1"/>
    <col min="5641" max="5642" width="9.7109375" style="1" customWidth="1"/>
    <col min="5643" max="5644" width="10.7109375" style="1" customWidth="1"/>
    <col min="5645" max="5646" width="10.42578125" style="1" customWidth="1"/>
    <col min="5647" max="5647" width="7.140625" style="1" customWidth="1"/>
    <col min="5648" max="5648" width="12.28515625" style="1" customWidth="1"/>
    <col min="5649" max="5650" width="7.140625" style="1" customWidth="1"/>
    <col min="5651" max="5889" width="8.85546875" style="1"/>
    <col min="5890" max="5890" width="50.28515625" style="1" customWidth="1"/>
    <col min="5891" max="5891" width="12.5703125" style="1" customWidth="1"/>
    <col min="5892" max="5896" width="0" style="1" hidden="1" customWidth="1"/>
    <col min="5897" max="5898" width="9.7109375" style="1" customWidth="1"/>
    <col min="5899" max="5900" width="10.7109375" style="1" customWidth="1"/>
    <col min="5901" max="5902" width="10.42578125" style="1" customWidth="1"/>
    <col min="5903" max="5903" width="7.140625" style="1" customWidth="1"/>
    <col min="5904" max="5904" width="12.28515625" style="1" customWidth="1"/>
    <col min="5905" max="5906" width="7.140625" style="1" customWidth="1"/>
    <col min="5907" max="6145" width="8.85546875" style="1"/>
    <col min="6146" max="6146" width="50.28515625" style="1" customWidth="1"/>
    <col min="6147" max="6147" width="12.5703125" style="1" customWidth="1"/>
    <col min="6148" max="6152" width="0" style="1" hidden="1" customWidth="1"/>
    <col min="6153" max="6154" width="9.7109375" style="1" customWidth="1"/>
    <col min="6155" max="6156" width="10.7109375" style="1" customWidth="1"/>
    <col min="6157" max="6158" width="10.42578125" style="1" customWidth="1"/>
    <col min="6159" max="6159" width="7.140625" style="1" customWidth="1"/>
    <col min="6160" max="6160" width="12.28515625" style="1" customWidth="1"/>
    <col min="6161" max="6162" width="7.140625" style="1" customWidth="1"/>
    <col min="6163" max="6401" width="8.85546875" style="1"/>
    <col min="6402" max="6402" width="50.28515625" style="1" customWidth="1"/>
    <col min="6403" max="6403" width="12.5703125" style="1" customWidth="1"/>
    <col min="6404" max="6408" width="0" style="1" hidden="1" customWidth="1"/>
    <col min="6409" max="6410" width="9.7109375" style="1" customWidth="1"/>
    <col min="6411" max="6412" width="10.7109375" style="1" customWidth="1"/>
    <col min="6413" max="6414" width="10.42578125" style="1" customWidth="1"/>
    <col min="6415" max="6415" width="7.140625" style="1" customWidth="1"/>
    <col min="6416" max="6416" width="12.28515625" style="1" customWidth="1"/>
    <col min="6417" max="6418" width="7.140625" style="1" customWidth="1"/>
    <col min="6419" max="6657" width="8.85546875" style="1"/>
    <col min="6658" max="6658" width="50.28515625" style="1" customWidth="1"/>
    <col min="6659" max="6659" width="12.5703125" style="1" customWidth="1"/>
    <col min="6660" max="6664" width="0" style="1" hidden="1" customWidth="1"/>
    <col min="6665" max="6666" width="9.7109375" style="1" customWidth="1"/>
    <col min="6667" max="6668" width="10.7109375" style="1" customWidth="1"/>
    <col min="6669" max="6670" width="10.42578125" style="1" customWidth="1"/>
    <col min="6671" max="6671" width="7.140625" style="1" customWidth="1"/>
    <col min="6672" max="6672" width="12.28515625" style="1" customWidth="1"/>
    <col min="6673" max="6674" width="7.140625" style="1" customWidth="1"/>
    <col min="6675" max="6913" width="8.85546875" style="1"/>
    <col min="6914" max="6914" width="50.28515625" style="1" customWidth="1"/>
    <col min="6915" max="6915" width="12.5703125" style="1" customWidth="1"/>
    <col min="6916" max="6920" width="0" style="1" hidden="1" customWidth="1"/>
    <col min="6921" max="6922" width="9.7109375" style="1" customWidth="1"/>
    <col min="6923" max="6924" width="10.7109375" style="1" customWidth="1"/>
    <col min="6925" max="6926" width="10.42578125" style="1" customWidth="1"/>
    <col min="6927" max="6927" width="7.140625" style="1" customWidth="1"/>
    <col min="6928" max="6928" width="12.28515625" style="1" customWidth="1"/>
    <col min="6929" max="6930" width="7.140625" style="1" customWidth="1"/>
    <col min="6931" max="7169" width="8.85546875" style="1"/>
    <col min="7170" max="7170" width="50.28515625" style="1" customWidth="1"/>
    <col min="7171" max="7171" width="12.5703125" style="1" customWidth="1"/>
    <col min="7172" max="7176" width="0" style="1" hidden="1" customWidth="1"/>
    <col min="7177" max="7178" width="9.7109375" style="1" customWidth="1"/>
    <col min="7179" max="7180" width="10.7109375" style="1" customWidth="1"/>
    <col min="7181" max="7182" width="10.42578125" style="1" customWidth="1"/>
    <col min="7183" max="7183" width="7.140625" style="1" customWidth="1"/>
    <col min="7184" max="7184" width="12.28515625" style="1" customWidth="1"/>
    <col min="7185" max="7186" width="7.140625" style="1" customWidth="1"/>
    <col min="7187" max="7425" width="8.85546875" style="1"/>
    <col min="7426" max="7426" width="50.28515625" style="1" customWidth="1"/>
    <col min="7427" max="7427" width="12.5703125" style="1" customWidth="1"/>
    <col min="7428" max="7432" width="0" style="1" hidden="1" customWidth="1"/>
    <col min="7433" max="7434" width="9.7109375" style="1" customWidth="1"/>
    <col min="7435" max="7436" width="10.7109375" style="1" customWidth="1"/>
    <col min="7437" max="7438" width="10.42578125" style="1" customWidth="1"/>
    <col min="7439" max="7439" width="7.140625" style="1" customWidth="1"/>
    <col min="7440" max="7440" width="12.28515625" style="1" customWidth="1"/>
    <col min="7441" max="7442" width="7.140625" style="1" customWidth="1"/>
    <col min="7443" max="7681" width="8.85546875" style="1"/>
    <col min="7682" max="7682" width="50.28515625" style="1" customWidth="1"/>
    <col min="7683" max="7683" width="12.5703125" style="1" customWidth="1"/>
    <col min="7684" max="7688" width="0" style="1" hidden="1" customWidth="1"/>
    <col min="7689" max="7690" width="9.7109375" style="1" customWidth="1"/>
    <col min="7691" max="7692" width="10.7109375" style="1" customWidth="1"/>
    <col min="7693" max="7694" width="10.42578125" style="1" customWidth="1"/>
    <col min="7695" max="7695" width="7.140625" style="1" customWidth="1"/>
    <col min="7696" max="7696" width="12.28515625" style="1" customWidth="1"/>
    <col min="7697" max="7698" width="7.140625" style="1" customWidth="1"/>
    <col min="7699" max="7937" width="8.85546875" style="1"/>
    <col min="7938" max="7938" width="50.28515625" style="1" customWidth="1"/>
    <col min="7939" max="7939" width="12.5703125" style="1" customWidth="1"/>
    <col min="7940" max="7944" width="0" style="1" hidden="1" customWidth="1"/>
    <col min="7945" max="7946" width="9.7109375" style="1" customWidth="1"/>
    <col min="7947" max="7948" width="10.7109375" style="1" customWidth="1"/>
    <col min="7949" max="7950" width="10.42578125" style="1" customWidth="1"/>
    <col min="7951" max="7951" width="7.140625" style="1" customWidth="1"/>
    <col min="7952" max="7952" width="12.28515625" style="1" customWidth="1"/>
    <col min="7953" max="7954" width="7.140625" style="1" customWidth="1"/>
    <col min="7955" max="8193" width="8.85546875" style="1"/>
    <col min="8194" max="8194" width="50.28515625" style="1" customWidth="1"/>
    <col min="8195" max="8195" width="12.5703125" style="1" customWidth="1"/>
    <col min="8196" max="8200" width="0" style="1" hidden="1" customWidth="1"/>
    <col min="8201" max="8202" width="9.7109375" style="1" customWidth="1"/>
    <col min="8203" max="8204" width="10.7109375" style="1" customWidth="1"/>
    <col min="8205" max="8206" width="10.42578125" style="1" customWidth="1"/>
    <col min="8207" max="8207" width="7.140625" style="1" customWidth="1"/>
    <col min="8208" max="8208" width="12.28515625" style="1" customWidth="1"/>
    <col min="8209" max="8210" width="7.140625" style="1" customWidth="1"/>
    <col min="8211" max="8449" width="8.85546875" style="1"/>
    <col min="8450" max="8450" width="50.28515625" style="1" customWidth="1"/>
    <col min="8451" max="8451" width="12.5703125" style="1" customWidth="1"/>
    <col min="8452" max="8456" width="0" style="1" hidden="1" customWidth="1"/>
    <col min="8457" max="8458" width="9.7109375" style="1" customWidth="1"/>
    <col min="8459" max="8460" width="10.7109375" style="1" customWidth="1"/>
    <col min="8461" max="8462" width="10.42578125" style="1" customWidth="1"/>
    <col min="8463" max="8463" width="7.140625" style="1" customWidth="1"/>
    <col min="8464" max="8464" width="12.28515625" style="1" customWidth="1"/>
    <col min="8465" max="8466" width="7.140625" style="1" customWidth="1"/>
    <col min="8467" max="8705" width="8.85546875" style="1"/>
    <col min="8706" max="8706" width="50.28515625" style="1" customWidth="1"/>
    <col min="8707" max="8707" width="12.5703125" style="1" customWidth="1"/>
    <col min="8708" max="8712" width="0" style="1" hidden="1" customWidth="1"/>
    <col min="8713" max="8714" width="9.7109375" style="1" customWidth="1"/>
    <col min="8715" max="8716" width="10.7109375" style="1" customWidth="1"/>
    <col min="8717" max="8718" width="10.42578125" style="1" customWidth="1"/>
    <col min="8719" max="8719" width="7.140625" style="1" customWidth="1"/>
    <col min="8720" max="8720" width="12.28515625" style="1" customWidth="1"/>
    <col min="8721" max="8722" width="7.140625" style="1" customWidth="1"/>
    <col min="8723" max="8961" width="8.85546875" style="1"/>
    <col min="8962" max="8962" width="50.28515625" style="1" customWidth="1"/>
    <col min="8963" max="8963" width="12.5703125" style="1" customWidth="1"/>
    <col min="8964" max="8968" width="0" style="1" hidden="1" customWidth="1"/>
    <col min="8969" max="8970" width="9.7109375" style="1" customWidth="1"/>
    <col min="8971" max="8972" width="10.7109375" style="1" customWidth="1"/>
    <col min="8973" max="8974" width="10.42578125" style="1" customWidth="1"/>
    <col min="8975" max="8975" width="7.140625" style="1" customWidth="1"/>
    <col min="8976" max="8976" width="12.28515625" style="1" customWidth="1"/>
    <col min="8977" max="8978" width="7.140625" style="1" customWidth="1"/>
    <col min="8979" max="9217" width="8.85546875" style="1"/>
    <col min="9218" max="9218" width="50.28515625" style="1" customWidth="1"/>
    <col min="9219" max="9219" width="12.5703125" style="1" customWidth="1"/>
    <col min="9220" max="9224" width="0" style="1" hidden="1" customWidth="1"/>
    <col min="9225" max="9226" width="9.7109375" style="1" customWidth="1"/>
    <col min="9227" max="9228" width="10.7109375" style="1" customWidth="1"/>
    <col min="9229" max="9230" width="10.42578125" style="1" customWidth="1"/>
    <col min="9231" max="9231" width="7.140625" style="1" customWidth="1"/>
    <col min="9232" max="9232" width="12.28515625" style="1" customWidth="1"/>
    <col min="9233" max="9234" width="7.140625" style="1" customWidth="1"/>
    <col min="9235" max="9473" width="8.85546875" style="1"/>
    <col min="9474" max="9474" width="50.28515625" style="1" customWidth="1"/>
    <col min="9475" max="9475" width="12.5703125" style="1" customWidth="1"/>
    <col min="9476" max="9480" width="0" style="1" hidden="1" customWidth="1"/>
    <col min="9481" max="9482" width="9.7109375" style="1" customWidth="1"/>
    <col min="9483" max="9484" width="10.7109375" style="1" customWidth="1"/>
    <col min="9485" max="9486" width="10.42578125" style="1" customWidth="1"/>
    <col min="9487" max="9487" width="7.140625" style="1" customWidth="1"/>
    <col min="9488" max="9488" width="12.28515625" style="1" customWidth="1"/>
    <col min="9489" max="9490" width="7.140625" style="1" customWidth="1"/>
    <col min="9491" max="9729" width="8.85546875" style="1"/>
    <col min="9730" max="9730" width="50.28515625" style="1" customWidth="1"/>
    <col min="9731" max="9731" width="12.5703125" style="1" customWidth="1"/>
    <col min="9732" max="9736" width="0" style="1" hidden="1" customWidth="1"/>
    <col min="9737" max="9738" width="9.7109375" style="1" customWidth="1"/>
    <col min="9739" max="9740" width="10.7109375" style="1" customWidth="1"/>
    <col min="9741" max="9742" width="10.42578125" style="1" customWidth="1"/>
    <col min="9743" max="9743" width="7.140625" style="1" customWidth="1"/>
    <col min="9744" max="9744" width="12.28515625" style="1" customWidth="1"/>
    <col min="9745" max="9746" width="7.140625" style="1" customWidth="1"/>
    <col min="9747" max="9985" width="8.85546875" style="1"/>
    <col min="9986" max="9986" width="50.28515625" style="1" customWidth="1"/>
    <col min="9987" max="9987" width="12.5703125" style="1" customWidth="1"/>
    <col min="9988" max="9992" width="0" style="1" hidden="1" customWidth="1"/>
    <col min="9993" max="9994" width="9.7109375" style="1" customWidth="1"/>
    <col min="9995" max="9996" width="10.7109375" style="1" customWidth="1"/>
    <col min="9997" max="9998" width="10.42578125" style="1" customWidth="1"/>
    <col min="9999" max="9999" width="7.140625" style="1" customWidth="1"/>
    <col min="10000" max="10000" width="12.28515625" style="1" customWidth="1"/>
    <col min="10001" max="10002" width="7.140625" style="1" customWidth="1"/>
    <col min="10003" max="10241" width="8.85546875" style="1"/>
    <col min="10242" max="10242" width="50.28515625" style="1" customWidth="1"/>
    <col min="10243" max="10243" width="12.5703125" style="1" customWidth="1"/>
    <col min="10244" max="10248" width="0" style="1" hidden="1" customWidth="1"/>
    <col min="10249" max="10250" width="9.7109375" style="1" customWidth="1"/>
    <col min="10251" max="10252" width="10.7109375" style="1" customWidth="1"/>
    <col min="10253" max="10254" width="10.42578125" style="1" customWidth="1"/>
    <col min="10255" max="10255" width="7.140625" style="1" customWidth="1"/>
    <col min="10256" max="10256" width="12.28515625" style="1" customWidth="1"/>
    <col min="10257" max="10258" width="7.140625" style="1" customWidth="1"/>
    <col min="10259" max="10497" width="8.85546875" style="1"/>
    <col min="10498" max="10498" width="50.28515625" style="1" customWidth="1"/>
    <col min="10499" max="10499" width="12.5703125" style="1" customWidth="1"/>
    <col min="10500" max="10504" width="0" style="1" hidden="1" customWidth="1"/>
    <col min="10505" max="10506" width="9.7109375" style="1" customWidth="1"/>
    <col min="10507" max="10508" width="10.7109375" style="1" customWidth="1"/>
    <col min="10509" max="10510" width="10.42578125" style="1" customWidth="1"/>
    <col min="10511" max="10511" width="7.140625" style="1" customWidth="1"/>
    <col min="10512" max="10512" width="12.28515625" style="1" customWidth="1"/>
    <col min="10513" max="10514" width="7.140625" style="1" customWidth="1"/>
    <col min="10515" max="10753" width="8.85546875" style="1"/>
    <col min="10754" max="10754" width="50.28515625" style="1" customWidth="1"/>
    <col min="10755" max="10755" width="12.5703125" style="1" customWidth="1"/>
    <col min="10756" max="10760" width="0" style="1" hidden="1" customWidth="1"/>
    <col min="10761" max="10762" width="9.7109375" style="1" customWidth="1"/>
    <col min="10763" max="10764" width="10.7109375" style="1" customWidth="1"/>
    <col min="10765" max="10766" width="10.42578125" style="1" customWidth="1"/>
    <col min="10767" max="10767" width="7.140625" style="1" customWidth="1"/>
    <col min="10768" max="10768" width="12.28515625" style="1" customWidth="1"/>
    <col min="10769" max="10770" width="7.140625" style="1" customWidth="1"/>
    <col min="10771" max="11009" width="8.85546875" style="1"/>
    <col min="11010" max="11010" width="50.28515625" style="1" customWidth="1"/>
    <col min="11011" max="11011" width="12.5703125" style="1" customWidth="1"/>
    <col min="11012" max="11016" width="0" style="1" hidden="1" customWidth="1"/>
    <col min="11017" max="11018" width="9.7109375" style="1" customWidth="1"/>
    <col min="11019" max="11020" width="10.7109375" style="1" customWidth="1"/>
    <col min="11021" max="11022" width="10.42578125" style="1" customWidth="1"/>
    <col min="11023" max="11023" width="7.140625" style="1" customWidth="1"/>
    <col min="11024" max="11024" width="12.28515625" style="1" customWidth="1"/>
    <col min="11025" max="11026" width="7.140625" style="1" customWidth="1"/>
    <col min="11027" max="11265" width="8.85546875" style="1"/>
    <col min="11266" max="11266" width="50.28515625" style="1" customWidth="1"/>
    <col min="11267" max="11267" width="12.5703125" style="1" customWidth="1"/>
    <col min="11268" max="11272" width="0" style="1" hidden="1" customWidth="1"/>
    <col min="11273" max="11274" width="9.7109375" style="1" customWidth="1"/>
    <col min="11275" max="11276" width="10.7109375" style="1" customWidth="1"/>
    <col min="11277" max="11278" width="10.42578125" style="1" customWidth="1"/>
    <col min="11279" max="11279" width="7.140625" style="1" customWidth="1"/>
    <col min="11280" max="11280" width="12.28515625" style="1" customWidth="1"/>
    <col min="11281" max="11282" width="7.140625" style="1" customWidth="1"/>
    <col min="11283" max="11521" width="8.85546875" style="1"/>
    <col min="11522" max="11522" width="50.28515625" style="1" customWidth="1"/>
    <col min="11523" max="11523" width="12.5703125" style="1" customWidth="1"/>
    <col min="11524" max="11528" width="0" style="1" hidden="1" customWidth="1"/>
    <col min="11529" max="11530" width="9.7109375" style="1" customWidth="1"/>
    <col min="11531" max="11532" width="10.7109375" style="1" customWidth="1"/>
    <col min="11533" max="11534" width="10.42578125" style="1" customWidth="1"/>
    <col min="11535" max="11535" width="7.140625" style="1" customWidth="1"/>
    <col min="11536" max="11536" width="12.28515625" style="1" customWidth="1"/>
    <col min="11537" max="11538" width="7.140625" style="1" customWidth="1"/>
    <col min="11539" max="11777" width="8.85546875" style="1"/>
    <col min="11778" max="11778" width="50.28515625" style="1" customWidth="1"/>
    <col min="11779" max="11779" width="12.5703125" style="1" customWidth="1"/>
    <col min="11780" max="11784" width="0" style="1" hidden="1" customWidth="1"/>
    <col min="11785" max="11786" width="9.7109375" style="1" customWidth="1"/>
    <col min="11787" max="11788" width="10.7109375" style="1" customWidth="1"/>
    <col min="11789" max="11790" width="10.42578125" style="1" customWidth="1"/>
    <col min="11791" max="11791" width="7.140625" style="1" customWidth="1"/>
    <col min="11792" max="11792" width="12.28515625" style="1" customWidth="1"/>
    <col min="11793" max="11794" width="7.140625" style="1" customWidth="1"/>
    <col min="11795" max="12033" width="8.85546875" style="1"/>
    <col min="12034" max="12034" width="50.28515625" style="1" customWidth="1"/>
    <col min="12035" max="12035" width="12.5703125" style="1" customWidth="1"/>
    <col min="12036" max="12040" width="0" style="1" hidden="1" customWidth="1"/>
    <col min="12041" max="12042" width="9.7109375" style="1" customWidth="1"/>
    <col min="12043" max="12044" width="10.7109375" style="1" customWidth="1"/>
    <col min="12045" max="12046" width="10.42578125" style="1" customWidth="1"/>
    <col min="12047" max="12047" width="7.140625" style="1" customWidth="1"/>
    <col min="12048" max="12048" width="12.28515625" style="1" customWidth="1"/>
    <col min="12049" max="12050" width="7.140625" style="1" customWidth="1"/>
    <col min="12051" max="12289" width="8.85546875" style="1"/>
    <col min="12290" max="12290" width="50.28515625" style="1" customWidth="1"/>
    <col min="12291" max="12291" width="12.5703125" style="1" customWidth="1"/>
    <col min="12292" max="12296" width="0" style="1" hidden="1" customWidth="1"/>
    <col min="12297" max="12298" width="9.7109375" style="1" customWidth="1"/>
    <col min="12299" max="12300" width="10.7109375" style="1" customWidth="1"/>
    <col min="12301" max="12302" width="10.42578125" style="1" customWidth="1"/>
    <col min="12303" max="12303" width="7.140625" style="1" customWidth="1"/>
    <col min="12304" max="12304" width="12.28515625" style="1" customWidth="1"/>
    <col min="12305" max="12306" width="7.140625" style="1" customWidth="1"/>
    <col min="12307" max="12545" width="8.85546875" style="1"/>
    <col min="12546" max="12546" width="50.28515625" style="1" customWidth="1"/>
    <col min="12547" max="12547" width="12.5703125" style="1" customWidth="1"/>
    <col min="12548" max="12552" width="0" style="1" hidden="1" customWidth="1"/>
    <col min="12553" max="12554" width="9.7109375" style="1" customWidth="1"/>
    <col min="12555" max="12556" width="10.7109375" style="1" customWidth="1"/>
    <col min="12557" max="12558" width="10.42578125" style="1" customWidth="1"/>
    <col min="12559" max="12559" width="7.140625" style="1" customWidth="1"/>
    <col min="12560" max="12560" width="12.28515625" style="1" customWidth="1"/>
    <col min="12561" max="12562" width="7.140625" style="1" customWidth="1"/>
    <col min="12563" max="12801" width="8.85546875" style="1"/>
    <col min="12802" max="12802" width="50.28515625" style="1" customWidth="1"/>
    <col min="12803" max="12803" width="12.5703125" style="1" customWidth="1"/>
    <col min="12804" max="12808" width="0" style="1" hidden="1" customWidth="1"/>
    <col min="12809" max="12810" width="9.7109375" style="1" customWidth="1"/>
    <col min="12811" max="12812" width="10.7109375" style="1" customWidth="1"/>
    <col min="12813" max="12814" width="10.42578125" style="1" customWidth="1"/>
    <col min="12815" max="12815" width="7.140625" style="1" customWidth="1"/>
    <col min="12816" max="12816" width="12.28515625" style="1" customWidth="1"/>
    <col min="12817" max="12818" width="7.140625" style="1" customWidth="1"/>
    <col min="12819" max="13057" width="8.85546875" style="1"/>
    <col min="13058" max="13058" width="50.28515625" style="1" customWidth="1"/>
    <col min="13059" max="13059" width="12.5703125" style="1" customWidth="1"/>
    <col min="13060" max="13064" width="0" style="1" hidden="1" customWidth="1"/>
    <col min="13065" max="13066" width="9.7109375" style="1" customWidth="1"/>
    <col min="13067" max="13068" width="10.7109375" style="1" customWidth="1"/>
    <col min="13069" max="13070" width="10.42578125" style="1" customWidth="1"/>
    <col min="13071" max="13071" width="7.140625" style="1" customWidth="1"/>
    <col min="13072" max="13072" width="12.28515625" style="1" customWidth="1"/>
    <col min="13073" max="13074" width="7.140625" style="1" customWidth="1"/>
    <col min="13075" max="13313" width="8.85546875" style="1"/>
    <col min="13314" max="13314" width="50.28515625" style="1" customWidth="1"/>
    <col min="13315" max="13315" width="12.5703125" style="1" customWidth="1"/>
    <col min="13316" max="13320" width="0" style="1" hidden="1" customWidth="1"/>
    <col min="13321" max="13322" width="9.7109375" style="1" customWidth="1"/>
    <col min="13323" max="13324" width="10.7109375" style="1" customWidth="1"/>
    <col min="13325" max="13326" width="10.42578125" style="1" customWidth="1"/>
    <col min="13327" max="13327" width="7.140625" style="1" customWidth="1"/>
    <col min="13328" max="13328" width="12.28515625" style="1" customWidth="1"/>
    <col min="13329" max="13330" width="7.140625" style="1" customWidth="1"/>
    <col min="13331" max="13569" width="8.85546875" style="1"/>
    <col min="13570" max="13570" width="50.28515625" style="1" customWidth="1"/>
    <col min="13571" max="13571" width="12.5703125" style="1" customWidth="1"/>
    <col min="13572" max="13576" width="0" style="1" hidden="1" customWidth="1"/>
    <col min="13577" max="13578" width="9.7109375" style="1" customWidth="1"/>
    <col min="13579" max="13580" width="10.7109375" style="1" customWidth="1"/>
    <col min="13581" max="13582" width="10.42578125" style="1" customWidth="1"/>
    <col min="13583" max="13583" width="7.140625" style="1" customWidth="1"/>
    <col min="13584" max="13584" width="12.28515625" style="1" customWidth="1"/>
    <col min="13585" max="13586" width="7.140625" style="1" customWidth="1"/>
    <col min="13587" max="13825" width="8.85546875" style="1"/>
    <col min="13826" max="13826" width="50.28515625" style="1" customWidth="1"/>
    <col min="13827" max="13827" width="12.5703125" style="1" customWidth="1"/>
    <col min="13828" max="13832" width="0" style="1" hidden="1" customWidth="1"/>
    <col min="13833" max="13834" width="9.7109375" style="1" customWidth="1"/>
    <col min="13835" max="13836" width="10.7109375" style="1" customWidth="1"/>
    <col min="13837" max="13838" width="10.42578125" style="1" customWidth="1"/>
    <col min="13839" max="13839" width="7.140625" style="1" customWidth="1"/>
    <col min="13840" max="13840" width="12.28515625" style="1" customWidth="1"/>
    <col min="13841" max="13842" width="7.140625" style="1" customWidth="1"/>
    <col min="13843" max="14081" width="8.85546875" style="1"/>
    <col min="14082" max="14082" width="50.28515625" style="1" customWidth="1"/>
    <col min="14083" max="14083" width="12.5703125" style="1" customWidth="1"/>
    <col min="14084" max="14088" width="0" style="1" hidden="1" customWidth="1"/>
    <col min="14089" max="14090" width="9.7109375" style="1" customWidth="1"/>
    <col min="14091" max="14092" width="10.7109375" style="1" customWidth="1"/>
    <col min="14093" max="14094" width="10.42578125" style="1" customWidth="1"/>
    <col min="14095" max="14095" width="7.140625" style="1" customWidth="1"/>
    <col min="14096" max="14096" width="12.28515625" style="1" customWidth="1"/>
    <col min="14097" max="14098" width="7.140625" style="1" customWidth="1"/>
    <col min="14099" max="14337" width="8.85546875" style="1"/>
    <col min="14338" max="14338" width="50.28515625" style="1" customWidth="1"/>
    <col min="14339" max="14339" width="12.5703125" style="1" customWidth="1"/>
    <col min="14340" max="14344" width="0" style="1" hidden="1" customWidth="1"/>
    <col min="14345" max="14346" width="9.7109375" style="1" customWidth="1"/>
    <col min="14347" max="14348" width="10.7109375" style="1" customWidth="1"/>
    <col min="14349" max="14350" width="10.42578125" style="1" customWidth="1"/>
    <col min="14351" max="14351" width="7.140625" style="1" customWidth="1"/>
    <col min="14352" max="14352" width="12.28515625" style="1" customWidth="1"/>
    <col min="14353" max="14354" width="7.140625" style="1" customWidth="1"/>
    <col min="14355" max="14593" width="8.85546875" style="1"/>
    <col min="14594" max="14594" width="50.28515625" style="1" customWidth="1"/>
    <col min="14595" max="14595" width="12.5703125" style="1" customWidth="1"/>
    <col min="14596" max="14600" width="0" style="1" hidden="1" customWidth="1"/>
    <col min="14601" max="14602" width="9.7109375" style="1" customWidth="1"/>
    <col min="14603" max="14604" width="10.7109375" style="1" customWidth="1"/>
    <col min="14605" max="14606" width="10.42578125" style="1" customWidth="1"/>
    <col min="14607" max="14607" width="7.140625" style="1" customWidth="1"/>
    <col min="14608" max="14608" width="12.28515625" style="1" customWidth="1"/>
    <col min="14609" max="14610" width="7.140625" style="1" customWidth="1"/>
    <col min="14611" max="14849" width="8.85546875" style="1"/>
    <col min="14850" max="14850" width="50.28515625" style="1" customWidth="1"/>
    <col min="14851" max="14851" width="12.5703125" style="1" customWidth="1"/>
    <col min="14852" max="14856" width="0" style="1" hidden="1" customWidth="1"/>
    <col min="14857" max="14858" width="9.7109375" style="1" customWidth="1"/>
    <col min="14859" max="14860" width="10.7109375" style="1" customWidth="1"/>
    <col min="14861" max="14862" width="10.42578125" style="1" customWidth="1"/>
    <col min="14863" max="14863" width="7.140625" style="1" customWidth="1"/>
    <col min="14864" max="14864" width="12.28515625" style="1" customWidth="1"/>
    <col min="14865" max="14866" width="7.140625" style="1" customWidth="1"/>
    <col min="14867" max="15105" width="8.85546875" style="1"/>
    <col min="15106" max="15106" width="50.28515625" style="1" customWidth="1"/>
    <col min="15107" max="15107" width="12.5703125" style="1" customWidth="1"/>
    <col min="15108" max="15112" width="0" style="1" hidden="1" customWidth="1"/>
    <col min="15113" max="15114" width="9.7109375" style="1" customWidth="1"/>
    <col min="15115" max="15116" width="10.7109375" style="1" customWidth="1"/>
    <col min="15117" max="15118" width="10.42578125" style="1" customWidth="1"/>
    <col min="15119" max="15119" width="7.140625" style="1" customWidth="1"/>
    <col min="15120" max="15120" width="12.28515625" style="1" customWidth="1"/>
    <col min="15121" max="15122" width="7.140625" style="1" customWidth="1"/>
    <col min="15123" max="15361" width="8.85546875" style="1"/>
    <col min="15362" max="15362" width="50.28515625" style="1" customWidth="1"/>
    <col min="15363" max="15363" width="12.5703125" style="1" customWidth="1"/>
    <col min="15364" max="15368" width="0" style="1" hidden="1" customWidth="1"/>
    <col min="15369" max="15370" width="9.7109375" style="1" customWidth="1"/>
    <col min="15371" max="15372" width="10.7109375" style="1" customWidth="1"/>
    <col min="15373" max="15374" width="10.42578125" style="1" customWidth="1"/>
    <col min="15375" max="15375" width="7.140625" style="1" customWidth="1"/>
    <col min="15376" max="15376" width="12.28515625" style="1" customWidth="1"/>
    <col min="15377" max="15378" width="7.140625" style="1" customWidth="1"/>
    <col min="15379" max="15617" width="8.85546875" style="1"/>
    <col min="15618" max="15618" width="50.28515625" style="1" customWidth="1"/>
    <col min="15619" max="15619" width="12.5703125" style="1" customWidth="1"/>
    <col min="15620" max="15624" width="0" style="1" hidden="1" customWidth="1"/>
    <col min="15625" max="15626" width="9.7109375" style="1" customWidth="1"/>
    <col min="15627" max="15628" width="10.7109375" style="1" customWidth="1"/>
    <col min="15629" max="15630" width="10.42578125" style="1" customWidth="1"/>
    <col min="15631" max="15631" width="7.140625" style="1" customWidth="1"/>
    <col min="15632" max="15632" width="12.28515625" style="1" customWidth="1"/>
    <col min="15633" max="15634" width="7.140625" style="1" customWidth="1"/>
    <col min="15635" max="15873" width="8.85546875" style="1"/>
    <col min="15874" max="15874" width="50.28515625" style="1" customWidth="1"/>
    <col min="15875" max="15875" width="12.5703125" style="1" customWidth="1"/>
    <col min="15876" max="15880" width="0" style="1" hidden="1" customWidth="1"/>
    <col min="15881" max="15882" width="9.7109375" style="1" customWidth="1"/>
    <col min="15883" max="15884" width="10.7109375" style="1" customWidth="1"/>
    <col min="15885" max="15886" width="10.42578125" style="1" customWidth="1"/>
    <col min="15887" max="15887" width="7.140625" style="1" customWidth="1"/>
    <col min="15888" max="15888" width="12.28515625" style="1" customWidth="1"/>
    <col min="15889" max="15890" width="7.140625" style="1" customWidth="1"/>
    <col min="15891" max="16129" width="8.85546875" style="1"/>
    <col min="16130" max="16130" width="50.28515625" style="1" customWidth="1"/>
    <col min="16131" max="16131" width="12.5703125" style="1" customWidth="1"/>
    <col min="16132" max="16136" width="0" style="1" hidden="1" customWidth="1"/>
    <col min="16137" max="16138" width="9.7109375" style="1" customWidth="1"/>
    <col min="16139" max="16140" width="10.7109375" style="1" customWidth="1"/>
    <col min="16141" max="16142" width="10.42578125" style="1" customWidth="1"/>
    <col min="16143" max="16143" width="7.140625" style="1" customWidth="1"/>
    <col min="16144" max="16144" width="12.28515625" style="1" customWidth="1"/>
    <col min="16145" max="16146" width="7.140625" style="1" customWidth="1"/>
    <col min="16147" max="16384" width="8.85546875" style="1"/>
  </cols>
  <sheetData>
    <row r="1" spans="1:16" ht="35.25" customHeight="1">
      <c r="A1" s="361" t="s">
        <v>225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6" ht="31.5" customHeight="1">
      <c r="A2" s="362" t="s">
        <v>2</v>
      </c>
      <c r="B2" s="365" t="s">
        <v>3</v>
      </c>
      <c r="C2" s="2" t="s">
        <v>4</v>
      </c>
      <c r="D2" s="3" t="s">
        <v>5</v>
      </c>
      <c r="E2" s="4" t="s">
        <v>6</v>
      </c>
      <c r="F2" s="3" t="s">
        <v>7</v>
      </c>
      <c r="G2" s="238" t="s">
        <v>8</v>
      </c>
      <c r="H2" s="225" t="s">
        <v>8</v>
      </c>
      <c r="I2" s="369" t="s">
        <v>226</v>
      </c>
      <c r="J2" s="369"/>
      <c r="K2" s="369"/>
      <c r="L2" s="262" t="s">
        <v>9</v>
      </c>
      <c r="M2" s="368" t="s">
        <v>227</v>
      </c>
      <c r="N2" s="369"/>
      <c r="O2" s="370"/>
    </row>
    <row r="3" spans="1:16">
      <c r="A3" s="363"/>
      <c r="B3" s="366"/>
      <c r="C3" s="6"/>
      <c r="D3" s="7"/>
      <c r="E3" s="8"/>
      <c r="F3" s="6"/>
      <c r="G3" s="362">
        <v>2011</v>
      </c>
      <c r="H3" s="373">
        <v>2013</v>
      </c>
      <c r="I3" s="412">
        <v>2014</v>
      </c>
      <c r="J3" s="373">
        <v>2015</v>
      </c>
      <c r="K3" s="413">
        <v>2016</v>
      </c>
      <c r="L3" s="374">
        <v>2017</v>
      </c>
      <c r="M3" s="417">
        <v>2018</v>
      </c>
      <c r="N3" s="419">
        <v>2019</v>
      </c>
      <c r="O3" s="415">
        <v>2020</v>
      </c>
    </row>
    <row r="4" spans="1:16">
      <c r="A4" s="364"/>
      <c r="B4" s="367"/>
      <c r="C4" s="6"/>
      <c r="D4" s="7"/>
      <c r="E4" s="8"/>
      <c r="F4" s="6"/>
      <c r="G4" s="364"/>
      <c r="H4" s="371"/>
      <c r="I4" s="373"/>
      <c r="J4" s="371"/>
      <c r="K4" s="414"/>
      <c r="L4" s="375"/>
      <c r="M4" s="418"/>
      <c r="N4" s="359"/>
      <c r="O4" s="416"/>
    </row>
    <row r="5" spans="1:16" ht="15">
      <c r="A5" s="9" t="s">
        <v>11</v>
      </c>
      <c r="B5" s="10"/>
      <c r="C5" s="11"/>
      <c r="D5" s="12"/>
      <c r="E5" s="12"/>
      <c r="F5" s="12"/>
      <c r="G5" s="13"/>
      <c r="H5" s="18"/>
      <c r="I5" s="18"/>
      <c r="J5" s="41"/>
      <c r="K5" s="41"/>
      <c r="L5" s="239"/>
      <c r="M5" s="18"/>
      <c r="N5" s="41"/>
      <c r="O5" s="13"/>
      <c r="P5" s="263"/>
    </row>
    <row r="6" spans="1:16" ht="21.6" customHeight="1">
      <c r="A6" s="14" t="s">
        <v>12</v>
      </c>
      <c r="B6" s="15" t="s">
        <v>13</v>
      </c>
      <c r="C6" s="16">
        <v>1</v>
      </c>
      <c r="D6" s="17"/>
      <c r="E6" s="17"/>
      <c r="F6" s="17"/>
      <c r="G6" s="18">
        <v>63.08</v>
      </c>
      <c r="H6" s="19">
        <v>65.83</v>
      </c>
      <c r="I6" s="19">
        <v>67.22</v>
      </c>
      <c r="J6" s="19">
        <v>68.42</v>
      </c>
      <c r="K6" s="19">
        <v>69.5</v>
      </c>
      <c r="L6" s="19">
        <f>K6+1.4</f>
        <v>70.900000000000006</v>
      </c>
      <c r="M6" s="19">
        <v>72.52</v>
      </c>
      <c r="N6" s="215">
        <v>73.820000000000007</v>
      </c>
      <c r="O6" s="13"/>
      <c r="P6" s="261"/>
    </row>
    <row r="7" spans="1:16" ht="15" customHeight="1">
      <c r="A7" s="14" t="s">
        <v>14</v>
      </c>
      <c r="B7" s="20" t="s">
        <v>15</v>
      </c>
      <c r="C7" s="16"/>
      <c r="D7" s="17"/>
      <c r="E7" s="17"/>
      <c r="F7" s="17"/>
      <c r="G7" s="18"/>
      <c r="H7" s="21">
        <f t="shared" ref="H7" si="0">H6/G6*100</f>
        <v>104.35954343690553</v>
      </c>
      <c r="I7" s="21">
        <f t="shared" ref="I7:N7" si="1">I6/H6*100</f>
        <v>102.11149931642109</v>
      </c>
      <c r="J7" s="21">
        <f t="shared" si="1"/>
        <v>101.78518298125559</v>
      </c>
      <c r="K7" s="21">
        <f t="shared" si="1"/>
        <v>101.57848582285882</v>
      </c>
      <c r="L7" s="21">
        <f t="shared" si="1"/>
        <v>102.01438848920866</v>
      </c>
      <c r="M7" s="21">
        <f t="shared" si="1"/>
        <v>102.28490832157968</v>
      </c>
      <c r="N7" s="21">
        <f t="shared" si="1"/>
        <v>101.79260893546609</v>
      </c>
      <c r="O7" s="13"/>
    </row>
    <row r="8" spans="1:16" ht="15" customHeight="1">
      <c r="A8" s="14" t="s">
        <v>16</v>
      </c>
      <c r="B8" s="20" t="s">
        <v>15</v>
      </c>
      <c r="C8" s="16"/>
      <c r="D8" s="17"/>
      <c r="E8" s="17"/>
      <c r="F8" s="17"/>
      <c r="G8" s="18"/>
      <c r="H8" s="19"/>
      <c r="I8" s="19"/>
      <c r="J8" s="19"/>
      <c r="K8" s="19"/>
      <c r="L8" s="19"/>
      <c r="M8" s="19"/>
      <c r="N8" s="19"/>
      <c r="O8" s="13"/>
    </row>
    <row r="9" spans="1:16" ht="15">
      <c r="A9" s="22" t="s">
        <v>17</v>
      </c>
      <c r="B9" s="20"/>
      <c r="C9" s="16"/>
      <c r="D9" s="17"/>
      <c r="E9" s="17"/>
      <c r="F9" s="17"/>
      <c r="G9" s="23"/>
      <c r="H9" s="19"/>
      <c r="I9" s="19"/>
      <c r="J9" s="19"/>
      <c r="K9" s="19"/>
      <c r="L9" s="19"/>
      <c r="M9" s="19"/>
      <c r="N9" s="19"/>
      <c r="O9" s="13"/>
    </row>
    <row r="10" spans="1:16" ht="23.25" customHeight="1">
      <c r="A10" s="24" t="s">
        <v>18</v>
      </c>
      <c r="B10" s="25"/>
      <c r="C10" s="16"/>
      <c r="D10" s="17"/>
      <c r="E10" s="17"/>
      <c r="F10" s="17"/>
      <c r="G10" s="25"/>
      <c r="H10" s="26" t="s">
        <v>19</v>
      </c>
      <c r="I10" s="27"/>
      <c r="J10" s="27"/>
      <c r="K10" s="27"/>
      <c r="L10" s="27"/>
      <c r="M10" s="27"/>
      <c r="N10" s="28"/>
      <c r="O10" s="13"/>
    </row>
    <row r="11" spans="1:16" ht="24">
      <c r="A11" s="29" t="s">
        <v>20</v>
      </c>
      <c r="B11" s="15" t="s">
        <v>21</v>
      </c>
      <c r="C11" s="16"/>
      <c r="D11" s="17"/>
      <c r="E11" s="17"/>
      <c r="F11" s="17"/>
      <c r="G11" s="18"/>
      <c r="H11" s="19"/>
      <c r="I11" s="19"/>
      <c r="J11" s="19"/>
      <c r="K11" s="19"/>
      <c r="L11" s="19"/>
      <c r="M11" s="19"/>
      <c r="N11" s="226"/>
      <c r="O11" s="13"/>
    </row>
    <row r="12" spans="1:16" ht="12.75">
      <c r="A12" s="14" t="s">
        <v>14</v>
      </c>
      <c r="B12" s="20" t="s">
        <v>15</v>
      </c>
      <c r="C12" s="16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226"/>
      <c r="O12" s="13"/>
    </row>
    <row r="13" spans="1:16" ht="12.75">
      <c r="A13" s="14" t="s">
        <v>16</v>
      </c>
      <c r="B13" s="20" t="s">
        <v>15</v>
      </c>
      <c r="C13" s="16"/>
      <c r="D13" s="17"/>
      <c r="E13" s="17"/>
      <c r="F13" s="17"/>
      <c r="G13" s="18"/>
      <c r="H13" s="19"/>
      <c r="I13" s="19"/>
      <c r="J13" s="19"/>
      <c r="K13" s="19"/>
      <c r="L13" s="19"/>
      <c r="M13" s="19"/>
      <c r="N13" s="226"/>
      <c r="O13" s="13"/>
    </row>
    <row r="14" spans="1:16" ht="14.25">
      <c r="A14" s="30" t="s">
        <v>22</v>
      </c>
      <c r="B14" s="20"/>
      <c r="C14" s="16"/>
      <c r="D14" s="17"/>
      <c r="E14" s="17"/>
      <c r="F14" s="17"/>
      <c r="G14" s="18"/>
      <c r="H14" s="19"/>
      <c r="I14" s="19"/>
      <c r="J14" s="19"/>
      <c r="K14" s="19"/>
      <c r="L14" s="19"/>
      <c r="M14" s="19"/>
      <c r="N14" s="226"/>
      <c r="O14" s="13"/>
    </row>
    <row r="15" spans="1:16" ht="29.25" customHeight="1">
      <c r="A15" s="14" t="s">
        <v>23</v>
      </c>
      <c r="B15" s="20" t="s">
        <v>24</v>
      </c>
      <c r="C15" s="16">
        <v>1</v>
      </c>
      <c r="D15" s="17"/>
      <c r="E15" s="17"/>
      <c r="F15" s="17"/>
      <c r="G15" s="18"/>
      <c r="H15" s="19"/>
      <c r="I15" s="19"/>
      <c r="J15" s="19"/>
      <c r="K15" s="19"/>
      <c r="L15" s="19"/>
      <c r="M15" s="19"/>
      <c r="N15" s="226"/>
      <c r="O15" s="13"/>
    </row>
    <row r="16" spans="1:16" ht="14.25">
      <c r="A16" s="30" t="s">
        <v>25</v>
      </c>
      <c r="B16" s="20"/>
      <c r="C16" s="16"/>
      <c r="D16" s="31"/>
      <c r="E16" s="31"/>
      <c r="F16" s="31"/>
      <c r="G16" s="32"/>
      <c r="H16" s="19"/>
      <c r="I16" s="19"/>
      <c r="J16" s="19"/>
      <c r="K16" s="19"/>
      <c r="L16" s="19"/>
      <c r="M16" s="19"/>
      <c r="N16" s="226"/>
      <c r="O16" s="13"/>
    </row>
    <row r="17" spans="1:17" ht="14.25">
      <c r="A17" s="33" t="s">
        <v>26</v>
      </c>
      <c r="B17" s="34"/>
      <c r="C17" s="16"/>
      <c r="D17" s="31"/>
      <c r="E17" s="31"/>
      <c r="F17" s="31"/>
      <c r="G17" s="35"/>
      <c r="H17" s="19"/>
      <c r="I17" s="19"/>
      <c r="J17" s="19"/>
      <c r="K17" s="19"/>
      <c r="L17" s="19"/>
      <c r="M17" s="19"/>
      <c r="N17" s="226"/>
      <c r="O17" s="13"/>
    </row>
    <row r="18" spans="1:17" ht="31.5">
      <c r="A18" s="36" t="s">
        <v>27</v>
      </c>
      <c r="B18" s="15" t="s">
        <v>21</v>
      </c>
      <c r="C18" s="16">
        <v>1</v>
      </c>
      <c r="D18" s="31"/>
      <c r="E18" s="31"/>
      <c r="F18" s="31"/>
      <c r="G18" s="18">
        <v>784.19</v>
      </c>
      <c r="H18" s="19">
        <v>998.81</v>
      </c>
      <c r="I18" s="19">
        <v>1215.0999999999999</v>
      </c>
      <c r="J18" s="19">
        <v>1419.8</v>
      </c>
      <c r="K18" s="19">
        <v>1674.9459999999999</v>
      </c>
      <c r="L18" s="19">
        <v>1788</v>
      </c>
      <c r="M18" s="19">
        <v>2001</v>
      </c>
      <c r="N18" s="226">
        <v>2237</v>
      </c>
      <c r="O18" s="229"/>
      <c r="P18" s="37"/>
      <c r="Q18" s="37"/>
    </row>
    <row r="19" spans="1:17" ht="12.75">
      <c r="A19" s="14" t="s">
        <v>14</v>
      </c>
      <c r="B19" s="20" t="s">
        <v>15</v>
      </c>
      <c r="C19" s="16"/>
      <c r="D19" s="31"/>
      <c r="E19" s="31"/>
      <c r="F19" s="31"/>
      <c r="G19" s="18"/>
      <c r="H19" s="38">
        <f t="shared" ref="H19:N19" si="2">H18/G18/H20*10000</f>
        <v>163.29277866660385</v>
      </c>
      <c r="I19" s="38">
        <f t="shared" si="2"/>
        <v>124.77412223109604</v>
      </c>
      <c r="J19" s="38">
        <f t="shared" si="2"/>
        <v>109.92130770897687</v>
      </c>
      <c r="K19" s="38">
        <f t="shared" si="2"/>
        <v>111.92652678718679</v>
      </c>
      <c r="L19" s="38">
        <f t="shared" si="2"/>
        <v>102.15283266976938</v>
      </c>
      <c r="M19" s="38">
        <f t="shared" si="2"/>
        <v>107.29889901999266</v>
      </c>
      <c r="N19" s="227">
        <f t="shared" si="2"/>
        <v>107.39106911481821</v>
      </c>
      <c r="O19" s="13"/>
      <c r="P19" s="60"/>
    </row>
    <row r="20" spans="1:17" ht="12.75">
      <c r="A20" s="14" t="s">
        <v>16</v>
      </c>
      <c r="B20" s="20" t="s">
        <v>15</v>
      </c>
      <c r="C20" s="16"/>
      <c r="D20" s="31"/>
      <c r="E20" s="31"/>
      <c r="F20" s="31"/>
      <c r="G20" s="18"/>
      <c r="H20" s="39">
        <v>78</v>
      </c>
      <c r="I20" s="39">
        <v>97.5</v>
      </c>
      <c r="J20" s="39">
        <v>106.3</v>
      </c>
      <c r="K20" s="39">
        <v>105.4</v>
      </c>
      <c r="L20" s="39">
        <v>104.5</v>
      </c>
      <c r="M20" s="39">
        <v>104.3</v>
      </c>
      <c r="N20" s="228">
        <v>104.1</v>
      </c>
      <c r="O20" s="13"/>
      <c r="Q20" s="37"/>
    </row>
    <row r="21" spans="1:17" ht="14.25">
      <c r="A21" s="30" t="s">
        <v>28</v>
      </c>
      <c r="B21" s="34"/>
      <c r="C21" s="16"/>
      <c r="D21" s="31"/>
      <c r="E21" s="31"/>
      <c r="F21" s="31"/>
      <c r="G21" s="18"/>
      <c r="H21" s="19"/>
      <c r="I21" s="19"/>
      <c r="J21" s="19"/>
      <c r="K21" s="19"/>
      <c r="L21" s="19"/>
      <c r="M21" s="19"/>
      <c r="N21" s="226"/>
      <c r="O21" s="13"/>
    </row>
    <row r="22" spans="1:17" ht="21">
      <c r="A22" s="113" t="s">
        <v>29</v>
      </c>
      <c r="B22" s="120" t="s">
        <v>30</v>
      </c>
      <c r="C22" s="118">
        <f>C26+C27</f>
        <v>2241.13</v>
      </c>
      <c r="D22" s="118">
        <f>D26+D27</f>
        <v>3044.4970000000003</v>
      </c>
      <c r="E22" s="118">
        <f>E26+E27</f>
        <v>3454.9</v>
      </c>
      <c r="F22" s="119">
        <v>3885.7</v>
      </c>
      <c r="G22" s="119">
        <v>4407</v>
      </c>
      <c r="H22" s="119">
        <f>H26+H27</f>
        <v>2241.13</v>
      </c>
      <c r="I22" s="119">
        <f>I26+I27</f>
        <v>3044.4970000000003</v>
      </c>
      <c r="J22" s="119">
        <f>J26+J27</f>
        <v>3454.9</v>
      </c>
      <c r="K22" s="241">
        <v>4443.9399999999996</v>
      </c>
      <c r="L22" s="119">
        <v>5239.5</v>
      </c>
      <c r="M22" s="119">
        <v>5501.47</v>
      </c>
      <c r="N22" s="119">
        <v>5831.56</v>
      </c>
      <c r="O22" s="13"/>
    </row>
    <row r="23" spans="1:17">
      <c r="A23" s="113" t="s">
        <v>14</v>
      </c>
      <c r="B23" s="120" t="s">
        <v>15</v>
      </c>
      <c r="C23" s="121"/>
      <c r="D23" s="121">
        <f>D22/C22*100/D24*100</f>
        <v>128.39935248368371</v>
      </c>
      <c r="E23" s="139">
        <f>E22/D22/E24*10000</f>
        <v>105.562937493986</v>
      </c>
      <c r="F23" s="138">
        <f>F22/E22/F24*10000</f>
        <v>106.00305992207818</v>
      </c>
      <c r="G23" s="139">
        <f>G22/F22/G24*10000</f>
        <v>106.09528357954846</v>
      </c>
      <c r="H23" s="121"/>
      <c r="I23" s="121">
        <f>I22/H22*100/I24*100</f>
        <v>128.39935248368371</v>
      </c>
      <c r="J23" s="138">
        <f>J22/I22/J24*10000</f>
        <v>105.562937493986</v>
      </c>
      <c r="K23" s="138">
        <f>K22/J22/K24*10000</f>
        <v>119.65317880166153</v>
      </c>
      <c r="L23" s="138"/>
      <c r="M23" s="138"/>
      <c r="N23" s="138"/>
      <c r="O23" s="13"/>
    </row>
    <row r="24" spans="1:17" ht="16.5" customHeight="1">
      <c r="A24" s="113" t="s">
        <v>16</v>
      </c>
      <c r="B24" s="120" t="s">
        <v>15</v>
      </c>
      <c r="C24" s="121">
        <v>109.9</v>
      </c>
      <c r="D24" s="121">
        <v>105.8</v>
      </c>
      <c r="E24" s="121">
        <v>107.5</v>
      </c>
      <c r="F24" s="121">
        <v>106.1</v>
      </c>
      <c r="G24" s="121">
        <v>106.9</v>
      </c>
      <c r="H24" s="121">
        <v>109.9</v>
      </c>
      <c r="I24" s="121">
        <v>105.8</v>
      </c>
      <c r="J24" s="121">
        <v>107.5</v>
      </c>
      <c r="K24" s="121">
        <v>107.5</v>
      </c>
      <c r="L24" s="121"/>
      <c r="M24" s="121"/>
      <c r="N24" s="121"/>
      <c r="O24" s="13"/>
    </row>
    <row r="25" spans="1:17" ht="12.75">
      <c r="A25" s="136" t="s">
        <v>31</v>
      </c>
      <c r="B25" s="12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3"/>
      <c r="P25" s="40"/>
    </row>
    <row r="26" spans="1:17" ht="12.75">
      <c r="A26" s="143" t="s">
        <v>32</v>
      </c>
      <c r="B26" s="120" t="s">
        <v>30</v>
      </c>
      <c r="C26" s="144">
        <v>1347.52</v>
      </c>
      <c r="D26" s="144">
        <v>1943.3820000000001</v>
      </c>
      <c r="E26" s="144">
        <v>2225.3000000000002</v>
      </c>
      <c r="F26" s="145">
        <v>2502</v>
      </c>
      <c r="G26" s="145">
        <v>2724</v>
      </c>
      <c r="H26" s="145">
        <v>1347.52</v>
      </c>
      <c r="I26" s="145">
        <v>1943.3820000000001</v>
      </c>
      <c r="J26" s="145">
        <v>2225.3000000000002</v>
      </c>
      <c r="K26" s="145">
        <v>3058.74</v>
      </c>
      <c r="L26" s="145">
        <v>3620.03</v>
      </c>
      <c r="M26" s="145">
        <v>3801.03</v>
      </c>
      <c r="N26" s="145">
        <v>4029.09</v>
      </c>
      <c r="O26" s="13"/>
      <c r="P26" s="40"/>
    </row>
    <row r="27" spans="1:17" ht="12.75">
      <c r="A27" s="143" t="s">
        <v>33</v>
      </c>
      <c r="B27" s="120" t="s">
        <v>30</v>
      </c>
      <c r="C27" s="118">
        <v>893.61</v>
      </c>
      <c r="D27" s="118">
        <v>1101.115</v>
      </c>
      <c r="E27" s="118">
        <v>1229.5999999999999</v>
      </c>
      <c r="F27" s="119">
        <v>1383</v>
      </c>
      <c r="G27" s="119">
        <v>1683</v>
      </c>
      <c r="H27" s="119">
        <v>893.61</v>
      </c>
      <c r="I27" s="119">
        <v>1101.115</v>
      </c>
      <c r="J27" s="119">
        <v>1229.5999999999999</v>
      </c>
      <c r="K27" s="119">
        <v>1385.2</v>
      </c>
      <c r="L27" s="119">
        <v>1619.47</v>
      </c>
      <c r="M27" s="119">
        <v>1700.44</v>
      </c>
      <c r="N27" s="119">
        <v>1801.47</v>
      </c>
      <c r="O27" s="13"/>
    </row>
    <row r="28" spans="1:17" ht="14.25">
      <c r="A28" s="30" t="s">
        <v>34</v>
      </c>
      <c r="B28" s="34"/>
      <c r="C28" s="16"/>
      <c r="D28" s="31"/>
      <c r="E28" s="31"/>
      <c r="F28" s="31"/>
      <c r="G28" s="18"/>
      <c r="H28" s="19"/>
      <c r="I28" s="19"/>
      <c r="J28" s="19"/>
      <c r="K28" s="19"/>
      <c r="L28" s="19"/>
      <c r="M28" s="19"/>
      <c r="N28" s="226"/>
      <c r="O28" s="13"/>
    </row>
    <row r="29" spans="1:17" ht="14.25">
      <c r="A29" s="30" t="s">
        <v>35</v>
      </c>
      <c r="B29" s="34"/>
      <c r="C29" s="16"/>
      <c r="D29" s="31"/>
      <c r="E29" s="31"/>
      <c r="F29" s="31"/>
      <c r="G29" s="18"/>
      <c r="H29" s="19"/>
      <c r="I29" s="19"/>
      <c r="J29" s="19"/>
      <c r="K29" s="19"/>
      <c r="L29" s="19"/>
      <c r="M29" s="19"/>
      <c r="N29" s="226"/>
      <c r="O29" s="13"/>
    </row>
    <row r="30" spans="1:17" ht="42">
      <c r="A30" s="14" t="s">
        <v>36</v>
      </c>
      <c r="B30" s="15" t="s">
        <v>37</v>
      </c>
      <c r="C30" s="16">
        <v>1</v>
      </c>
      <c r="D30" s="31"/>
      <c r="E30" s="31"/>
      <c r="F30" s="31"/>
      <c r="G30" s="41">
        <v>250.8</v>
      </c>
      <c r="H30" s="19">
        <v>360.4</v>
      </c>
      <c r="I30" s="19">
        <v>360.4</v>
      </c>
      <c r="J30" s="19">
        <v>402.7</v>
      </c>
      <c r="K30" s="19">
        <v>402.7</v>
      </c>
      <c r="L30" s="19">
        <v>402.7</v>
      </c>
      <c r="M30" s="19">
        <v>402.7</v>
      </c>
      <c r="N30" s="226">
        <v>402.7</v>
      </c>
      <c r="O30" s="13"/>
    </row>
    <row r="31" spans="1:17" ht="14.25">
      <c r="A31" s="30" t="s">
        <v>38</v>
      </c>
      <c r="B31" s="20"/>
      <c r="C31" s="16"/>
      <c r="D31" s="31"/>
      <c r="E31" s="31"/>
      <c r="F31" s="31"/>
      <c r="G31" s="18"/>
      <c r="H31" s="19"/>
      <c r="I31" s="19"/>
      <c r="J31" s="19"/>
      <c r="K31" s="19"/>
      <c r="L31" s="19"/>
      <c r="M31" s="19"/>
      <c r="N31" s="226"/>
      <c r="O31" s="13"/>
    </row>
    <row r="32" spans="1:17" ht="12.75">
      <c r="A32" s="42" t="s">
        <v>39</v>
      </c>
      <c r="B32" s="43"/>
      <c r="C32" s="16"/>
      <c r="D32" s="31"/>
      <c r="E32" s="31"/>
      <c r="F32" s="31"/>
      <c r="G32" s="18" t="s">
        <v>40</v>
      </c>
      <c r="H32" s="19" t="s">
        <v>40</v>
      </c>
      <c r="I32" s="19" t="s">
        <v>40</v>
      </c>
      <c r="J32" s="19" t="s">
        <v>40</v>
      </c>
      <c r="K32" s="19"/>
      <c r="L32" s="19" t="s">
        <v>40</v>
      </c>
      <c r="M32" s="19" t="s">
        <v>40</v>
      </c>
      <c r="N32" s="226"/>
      <c r="O32" s="13"/>
    </row>
    <row r="33" spans="1:16" ht="32.25">
      <c r="A33" s="42" t="s">
        <v>41</v>
      </c>
      <c r="B33" s="43" t="s">
        <v>0</v>
      </c>
      <c r="C33" s="16">
        <v>1</v>
      </c>
      <c r="D33" s="31"/>
      <c r="E33" s="31"/>
      <c r="F33" s="31"/>
      <c r="G33" s="18" t="s">
        <v>40</v>
      </c>
      <c r="H33" s="19" t="s">
        <v>40</v>
      </c>
      <c r="I33" s="19"/>
      <c r="J33" s="19" t="s">
        <v>40</v>
      </c>
      <c r="K33" s="19"/>
      <c r="L33" s="19" t="s">
        <v>40</v>
      </c>
      <c r="M33" s="19" t="s">
        <v>40</v>
      </c>
      <c r="N33" s="226"/>
      <c r="O33" s="13"/>
    </row>
    <row r="34" spans="1:16" ht="21.75">
      <c r="A34" s="42" t="s">
        <v>42</v>
      </c>
      <c r="B34" s="43" t="s">
        <v>43</v>
      </c>
      <c r="C34" s="16">
        <v>1</v>
      </c>
      <c r="D34" s="31"/>
      <c r="E34" s="31"/>
      <c r="F34" s="31"/>
      <c r="G34" s="18" t="s">
        <v>40</v>
      </c>
      <c r="H34" s="19" t="s">
        <v>40</v>
      </c>
      <c r="I34" s="19"/>
      <c r="J34" s="19" t="s">
        <v>40</v>
      </c>
      <c r="K34" s="19"/>
      <c r="L34" s="19" t="s">
        <v>40</v>
      </c>
      <c r="M34" s="19" t="s">
        <v>40</v>
      </c>
      <c r="N34" s="226"/>
      <c r="O34" s="13"/>
    </row>
    <row r="35" spans="1:16" ht="12.75">
      <c r="A35" s="42" t="s">
        <v>44</v>
      </c>
      <c r="B35" s="43" t="s">
        <v>0</v>
      </c>
      <c r="C35" s="16">
        <v>1</v>
      </c>
      <c r="D35" s="31"/>
      <c r="E35" s="31"/>
      <c r="F35" s="31"/>
      <c r="G35" s="18">
        <f>11/63080*10000</f>
        <v>1.7438173747622068</v>
      </c>
      <c r="H35" s="19">
        <f>11/H6*10</f>
        <v>1.6709706820598511</v>
      </c>
      <c r="I35" s="19">
        <f t="shared" ref="I35" si="3">11/I6*10</f>
        <v>1.6364177328176139</v>
      </c>
      <c r="J35" s="19">
        <f>11/J6*10</f>
        <v>1.607717041800643</v>
      </c>
      <c r="K35" s="19">
        <f t="shared" ref="K35:N35" si="4">11/K6*10</f>
        <v>1.5827338129496402</v>
      </c>
      <c r="L35" s="19">
        <f t="shared" si="4"/>
        <v>1.55148095909732</v>
      </c>
      <c r="M35" s="19">
        <f t="shared" si="4"/>
        <v>1.516822945394374</v>
      </c>
      <c r="N35" s="226">
        <f t="shared" si="4"/>
        <v>1.4901110810078568</v>
      </c>
      <c r="O35" s="13"/>
    </row>
    <row r="36" spans="1:16" ht="14.25">
      <c r="A36" s="30" t="s">
        <v>45</v>
      </c>
      <c r="B36" s="44"/>
      <c r="C36" s="16"/>
      <c r="D36" s="31"/>
      <c r="E36" s="31"/>
      <c r="F36" s="31"/>
      <c r="G36" s="18"/>
      <c r="H36" s="19"/>
      <c r="I36" s="19"/>
      <c r="J36" s="19"/>
      <c r="K36" s="19"/>
      <c r="L36" s="19"/>
      <c r="M36" s="19"/>
      <c r="N36" s="226"/>
      <c r="O36" s="13"/>
    </row>
    <row r="37" spans="1:16" ht="21">
      <c r="A37" s="14" t="s">
        <v>46</v>
      </c>
      <c r="B37" s="20" t="s">
        <v>21</v>
      </c>
      <c r="C37" s="16">
        <v>1</v>
      </c>
      <c r="D37" s="31"/>
      <c r="E37" s="31"/>
      <c r="F37" s="31"/>
      <c r="G37" s="18">
        <v>1412.5</v>
      </c>
      <c r="H37" s="19">
        <f>1692599/1000</f>
        <v>1692.5989999999999</v>
      </c>
      <c r="I37" s="19">
        <v>2010.7</v>
      </c>
      <c r="J37" s="19">
        <f>2227316/1000</f>
        <v>2227.3159999999998</v>
      </c>
      <c r="K37" s="19">
        <v>2489.7793999999999</v>
      </c>
      <c r="L37" s="19">
        <v>2663</v>
      </c>
      <c r="M37" s="19">
        <f>L37+300</f>
        <v>2963</v>
      </c>
      <c r="N37" s="215">
        <f>M37+300</f>
        <v>3263</v>
      </c>
      <c r="O37" s="229"/>
      <c r="P37" s="37"/>
    </row>
    <row r="38" spans="1:16" ht="12.75">
      <c r="A38" s="14" t="s">
        <v>14</v>
      </c>
      <c r="B38" s="20" t="s">
        <v>15</v>
      </c>
      <c r="C38" s="16"/>
      <c r="D38" s="31"/>
      <c r="E38" s="31"/>
      <c r="F38" s="31"/>
      <c r="G38" s="18"/>
      <c r="H38" s="21">
        <f t="shared" ref="H38:I38" si="5">H37/G37*100/H39*100</f>
        <v>111.46978390615352</v>
      </c>
      <c r="I38" s="21">
        <f t="shared" si="5"/>
        <v>108.09248608143665</v>
      </c>
      <c r="J38" s="21">
        <f>J37/I37*100/J39*100</f>
        <v>100.9782712624197</v>
      </c>
      <c r="K38" s="21">
        <f>K37/J37/K39*10000</f>
        <v>107.58791345254156</v>
      </c>
      <c r="L38" s="21">
        <f>L37/K37/L39*10000</f>
        <v>102.64612953660907</v>
      </c>
      <c r="M38" s="21">
        <f>M37/L37/M39*10000</f>
        <v>105.46491947755176</v>
      </c>
      <c r="N38" s="230">
        <f>N37/M37/N39*10000</f>
        <v>104.58202605800761</v>
      </c>
      <c r="O38" s="229"/>
    </row>
    <row r="39" spans="1:16" ht="12.75">
      <c r="A39" s="14" t="s">
        <v>16</v>
      </c>
      <c r="B39" s="20" t="s">
        <v>15</v>
      </c>
      <c r="C39" s="16"/>
      <c r="D39" s="31"/>
      <c r="E39" s="31"/>
      <c r="F39" s="31"/>
      <c r="G39" s="18"/>
      <c r="H39" s="21">
        <v>107.5</v>
      </c>
      <c r="I39" s="21">
        <v>109.9</v>
      </c>
      <c r="J39" s="21">
        <v>109.7</v>
      </c>
      <c r="K39" s="21">
        <v>103.9</v>
      </c>
      <c r="L39" s="21">
        <v>104.2</v>
      </c>
      <c r="M39" s="21">
        <v>105.5</v>
      </c>
      <c r="N39" s="230">
        <v>105.3</v>
      </c>
      <c r="O39" s="13"/>
    </row>
    <row r="40" spans="1:16" ht="14.25">
      <c r="A40" s="24" t="s">
        <v>47</v>
      </c>
      <c r="B40" s="34"/>
      <c r="C40" s="16"/>
      <c r="D40" s="31"/>
      <c r="E40" s="31"/>
      <c r="F40" s="31"/>
      <c r="G40" s="18"/>
      <c r="H40" s="19"/>
      <c r="I40" s="19"/>
      <c r="J40" s="19"/>
      <c r="K40" s="19"/>
      <c r="L40" s="19"/>
      <c r="M40" s="19"/>
      <c r="N40" s="226"/>
      <c r="O40" s="13"/>
    </row>
    <row r="41" spans="1:16" ht="12.75">
      <c r="A41" s="14" t="s">
        <v>48</v>
      </c>
      <c r="B41" s="20" t="s">
        <v>49</v>
      </c>
      <c r="C41" s="16">
        <v>1</v>
      </c>
      <c r="D41" s="31"/>
      <c r="E41" s="31"/>
      <c r="F41" s="31"/>
      <c r="G41" s="18">
        <v>5372</v>
      </c>
      <c r="H41" s="19">
        <v>2777.4</v>
      </c>
      <c r="I41" s="19">
        <v>3131.9</v>
      </c>
      <c r="J41" s="19">
        <v>3759</v>
      </c>
      <c r="K41" s="19">
        <v>4258.7026699999997</v>
      </c>
      <c r="L41" s="19">
        <v>4629</v>
      </c>
      <c r="M41" s="19">
        <v>5120</v>
      </c>
      <c r="N41" s="25">
        <v>5630</v>
      </c>
      <c r="O41" s="13"/>
    </row>
    <row r="42" spans="1:16" ht="12.75">
      <c r="A42" s="14" t="s">
        <v>14</v>
      </c>
      <c r="B42" s="20" t="s">
        <v>15</v>
      </c>
      <c r="C42" s="16"/>
      <c r="D42" s="31"/>
      <c r="E42" s="31"/>
      <c r="F42" s="31"/>
      <c r="G42" s="18"/>
      <c r="H42" s="21"/>
      <c r="I42" s="21">
        <f t="shared" ref="I42" si="6">I41/H41*100/I43*100</f>
        <v>106.98646666800573</v>
      </c>
      <c r="J42" s="21">
        <f>J41/I41*100/J43*100</f>
        <v>102.32138895120086</v>
      </c>
      <c r="K42" s="21">
        <f>K41/J41/K43*10000</f>
        <v>106.08005630432031</v>
      </c>
      <c r="L42" s="21">
        <f>L41/K41/L43*10000</f>
        <v>102.4458751775024</v>
      </c>
      <c r="M42" s="21">
        <f>M41/L41/M43*10000</f>
        <v>105.23981213871348</v>
      </c>
      <c r="N42" s="230">
        <f>N41/M41/N43*10000</f>
        <v>105.32656848659003</v>
      </c>
      <c r="O42" s="13"/>
    </row>
    <row r="43" spans="1:16" ht="12.75">
      <c r="A43" s="14" t="s">
        <v>16</v>
      </c>
      <c r="B43" s="20" t="s">
        <v>15</v>
      </c>
      <c r="C43" s="16"/>
      <c r="D43" s="31"/>
      <c r="E43" s="31"/>
      <c r="F43" s="31"/>
      <c r="G43" s="18"/>
      <c r="H43" s="21">
        <v>106.5</v>
      </c>
      <c r="I43" s="21">
        <v>105.4</v>
      </c>
      <c r="J43" s="21">
        <v>117.3</v>
      </c>
      <c r="K43" s="21">
        <v>106.8</v>
      </c>
      <c r="L43" s="21">
        <v>106.1</v>
      </c>
      <c r="M43" s="21">
        <v>105.1</v>
      </c>
      <c r="N43" s="230">
        <v>104.4</v>
      </c>
      <c r="O43" s="13"/>
    </row>
    <row r="44" spans="1:16" ht="28.5">
      <c r="A44" s="24" t="s">
        <v>50</v>
      </c>
      <c r="B44" s="34"/>
      <c r="C44" s="16"/>
      <c r="D44" s="31"/>
      <c r="E44" s="31"/>
      <c r="F44" s="31"/>
      <c r="G44" s="18"/>
      <c r="H44" s="19"/>
      <c r="I44" s="19"/>
      <c r="J44" s="19"/>
      <c r="K44" s="19"/>
      <c r="L44" s="19"/>
      <c r="M44" s="19"/>
      <c r="N44" s="226"/>
      <c r="O44" s="13"/>
    </row>
    <row r="45" spans="1:16" ht="12.75">
      <c r="A45" s="45" t="s">
        <v>51</v>
      </c>
      <c r="B45" s="20" t="s">
        <v>52</v>
      </c>
      <c r="C45" s="16">
        <v>1</v>
      </c>
      <c r="D45" s="31"/>
      <c r="E45" s="31"/>
      <c r="F45" s="31"/>
      <c r="G45" s="18" t="s">
        <v>40</v>
      </c>
      <c r="H45" s="19" t="s">
        <v>40</v>
      </c>
      <c r="I45" s="19"/>
      <c r="J45" s="19" t="s">
        <v>40</v>
      </c>
      <c r="K45" s="19"/>
      <c r="L45" s="19" t="s">
        <v>40</v>
      </c>
      <c r="M45" s="19" t="s">
        <v>40</v>
      </c>
      <c r="N45" s="226" t="s">
        <v>40</v>
      </c>
      <c r="O45" s="13"/>
    </row>
    <row r="46" spans="1:16" ht="12.75">
      <c r="A46" s="45" t="s">
        <v>53</v>
      </c>
      <c r="B46" s="20" t="s">
        <v>52</v>
      </c>
      <c r="C46" s="16">
        <v>1</v>
      </c>
      <c r="D46" s="31"/>
      <c r="E46" s="31"/>
      <c r="F46" s="31"/>
      <c r="G46" s="18" t="s">
        <v>40</v>
      </c>
      <c r="H46" s="19" t="s">
        <v>40</v>
      </c>
      <c r="I46" s="19"/>
      <c r="J46" s="19" t="s">
        <v>40</v>
      </c>
      <c r="K46" s="19"/>
      <c r="L46" s="19" t="s">
        <v>40</v>
      </c>
      <c r="M46" s="19" t="s">
        <v>40</v>
      </c>
      <c r="N46" s="226" t="s">
        <v>40</v>
      </c>
      <c r="O46" s="13"/>
    </row>
    <row r="47" spans="1:16" ht="28.5">
      <c r="A47" s="46" t="s">
        <v>54</v>
      </c>
      <c r="B47" s="47"/>
      <c r="C47" s="48"/>
      <c r="D47" s="49"/>
      <c r="E47" s="49"/>
      <c r="F47" s="49"/>
      <c r="G47" s="18"/>
      <c r="H47" s="19"/>
      <c r="I47" s="19"/>
      <c r="J47" s="19"/>
      <c r="K47" s="19"/>
      <c r="L47" s="19"/>
      <c r="M47" s="19"/>
      <c r="N47" s="226"/>
      <c r="O47" s="13"/>
    </row>
    <row r="48" spans="1:16" ht="12.75">
      <c r="A48" s="50" t="s">
        <v>55</v>
      </c>
      <c r="B48" s="51" t="s">
        <v>0</v>
      </c>
      <c r="C48" s="48"/>
      <c r="D48" s="49"/>
      <c r="E48" s="49"/>
      <c r="F48" s="49"/>
      <c r="G48" s="18" t="s">
        <v>40</v>
      </c>
      <c r="H48" s="19">
        <v>3</v>
      </c>
      <c r="I48" s="19">
        <v>3</v>
      </c>
      <c r="J48" s="19" t="s">
        <v>40</v>
      </c>
      <c r="K48" s="19" t="s">
        <v>40</v>
      </c>
      <c r="L48" s="19" t="s">
        <v>40</v>
      </c>
      <c r="M48" s="19" t="s">
        <v>40</v>
      </c>
      <c r="N48" s="226" t="s">
        <v>40</v>
      </c>
      <c r="O48" s="13"/>
    </row>
    <row r="49" spans="1:15" ht="21">
      <c r="A49" s="52" t="s">
        <v>56</v>
      </c>
      <c r="B49" s="51"/>
      <c r="C49" s="48"/>
      <c r="D49" s="49"/>
      <c r="E49" s="49"/>
      <c r="F49" s="49"/>
      <c r="G49" s="18" t="s">
        <v>40</v>
      </c>
      <c r="H49" s="19"/>
      <c r="J49" s="19" t="s">
        <v>40</v>
      </c>
      <c r="K49" s="19"/>
      <c r="L49" s="19" t="s">
        <v>40</v>
      </c>
      <c r="M49" s="19"/>
      <c r="N49" s="226"/>
      <c r="O49" s="13"/>
    </row>
    <row r="50" spans="1:15" ht="12.75">
      <c r="A50" s="53" t="s">
        <v>57</v>
      </c>
      <c r="B50" s="51" t="s">
        <v>0</v>
      </c>
      <c r="C50" s="48"/>
      <c r="D50" s="49"/>
      <c r="E50" s="49"/>
      <c r="F50" s="49"/>
      <c r="G50" s="18" t="s">
        <v>40</v>
      </c>
      <c r="H50" s="19">
        <v>1</v>
      </c>
      <c r="I50" s="19">
        <v>1</v>
      </c>
      <c r="J50" s="19" t="s">
        <v>40</v>
      </c>
      <c r="K50" s="19"/>
      <c r="L50" s="19" t="s">
        <v>40</v>
      </c>
      <c r="M50" s="19"/>
      <c r="N50" s="226"/>
      <c r="O50" s="13"/>
    </row>
    <row r="51" spans="1:15" ht="12.75">
      <c r="A51" s="53" t="s">
        <v>58</v>
      </c>
      <c r="B51" s="51" t="s">
        <v>0</v>
      </c>
      <c r="C51" s="48"/>
      <c r="D51" s="49"/>
      <c r="E51" s="49"/>
      <c r="F51" s="49"/>
      <c r="G51" s="18" t="s">
        <v>40</v>
      </c>
      <c r="H51" s="19" t="s">
        <v>40</v>
      </c>
      <c r="I51" s="19"/>
      <c r="J51" s="19" t="s">
        <v>40</v>
      </c>
      <c r="K51" s="19"/>
      <c r="L51" s="19" t="s">
        <v>40</v>
      </c>
      <c r="M51" s="19" t="s">
        <v>40</v>
      </c>
      <c r="N51" s="19"/>
      <c r="O51" s="13"/>
    </row>
    <row r="52" spans="1:15" ht="21">
      <c r="A52" s="53" t="s">
        <v>59</v>
      </c>
      <c r="B52" s="51" t="s">
        <v>0</v>
      </c>
      <c r="C52" s="48"/>
      <c r="D52" s="49"/>
      <c r="E52" s="49"/>
      <c r="F52" s="49"/>
      <c r="G52" s="18" t="s">
        <v>40</v>
      </c>
      <c r="H52" s="19" t="s">
        <v>40</v>
      </c>
      <c r="I52" s="19"/>
      <c r="J52" s="19" t="s">
        <v>40</v>
      </c>
      <c r="K52" s="19"/>
      <c r="L52" s="19" t="s">
        <v>40</v>
      </c>
      <c r="M52" s="19" t="s">
        <v>40</v>
      </c>
      <c r="N52" s="19"/>
      <c r="O52" s="13"/>
    </row>
    <row r="53" spans="1:15" ht="12.75">
      <c r="A53" s="53" t="s">
        <v>60</v>
      </c>
      <c r="B53" s="51" t="s">
        <v>0</v>
      </c>
      <c r="C53" s="48"/>
      <c r="D53" s="49"/>
      <c r="E53" s="49"/>
      <c r="F53" s="49"/>
      <c r="G53" s="18" t="s">
        <v>40</v>
      </c>
      <c r="H53" s="19" t="s">
        <v>40</v>
      </c>
      <c r="I53" s="19"/>
      <c r="J53" s="19" t="s">
        <v>40</v>
      </c>
      <c r="K53" s="19"/>
      <c r="L53" s="19" t="s">
        <v>40</v>
      </c>
      <c r="M53" s="19" t="s">
        <v>40</v>
      </c>
      <c r="N53" s="19"/>
      <c r="O53" s="13"/>
    </row>
    <row r="54" spans="1:15" ht="31.5">
      <c r="A54" s="53" t="s">
        <v>61</v>
      </c>
      <c r="B54" s="51" t="s">
        <v>0</v>
      </c>
      <c r="C54" s="48"/>
      <c r="D54" s="49"/>
      <c r="E54" s="49"/>
      <c r="F54" s="49"/>
      <c r="G54" s="18" t="s">
        <v>40</v>
      </c>
      <c r="H54" s="19" t="s">
        <v>40</v>
      </c>
      <c r="I54" s="19"/>
      <c r="J54" s="19" t="s">
        <v>40</v>
      </c>
      <c r="K54" s="19"/>
      <c r="L54" s="19" t="s">
        <v>40</v>
      </c>
      <c r="M54" s="19" t="s">
        <v>40</v>
      </c>
      <c r="N54" s="19"/>
      <c r="O54" s="13"/>
    </row>
    <row r="55" spans="1:15" ht="12.75">
      <c r="A55" s="53" t="s">
        <v>62</v>
      </c>
      <c r="B55" s="51" t="s">
        <v>0</v>
      </c>
      <c r="C55" s="48"/>
      <c r="D55" s="49"/>
      <c r="E55" s="49"/>
      <c r="F55" s="49"/>
      <c r="G55" s="18" t="s">
        <v>40</v>
      </c>
      <c r="H55" s="19" t="s">
        <v>40</v>
      </c>
      <c r="I55" s="19"/>
      <c r="J55" s="19" t="s">
        <v>40</v>
      </c>
      <c r="K55" s="19"/>
      <c r="L55" s="19" t="s">
        <v>40</v>
      </c>
      <c r="M55" s="19" t="s">
        <v>40</v>
      </c>
      <c r="N55" s="19"/>
      <c r="O55" s="13"/>
    </row>
    <row r="56" spans="1:15" ht="21">
      <c r="A56" s="53" t="s">
        <v>63</v>
      </c>
      <c r="B56" s="51" t="s">
        <v>0</v>
      </c>
      <c r="C56" s="48"/>
      <c r="D56" s="49"/>
      <c r="E56" s="49"/>
      <c r="F56" s="49"/>
      <c r="G56" s="18" t="s">
        <v>40</v>
      </c>
      <c r="H56" s="19" t="s">
        <v>40</v>
      </c>
      <c r="I56" s="19"/>
      <c r="J56" s="19" t="s">
        <v>40</v>
      </c>
      <c r="K56" s="19"/>
      <c r="L56" s="19" t="s">
        <v>40</v>
      </c>
      <c r="M56" s="19" t="s">
        <v>40</v>
      </c>
      <c r="N56" s="19"/>
      <c r="O56" s="13"/>
    </row>
    <row r="57" spans="1:15" ht="12.75">
      <c r="A57" s="53" t="s">
        <v>64</v>
      </c>
      <c r="B57" s="51" t="s">
        <v>0</v>
      </c>
      <c r="C57" s="48"/>
      <c r="D57" s="49"/>
      <c r="E57" s="49"/>
      <c r="F57" s="49"/>
      <c r="G57" s="18" t="s">
        <v>40</v>
      </c>
      <c r="H57" s="19" t="s">
        <v>40</v>
      </c>
      <c r="I57" s="19"/>
      <c r="J57" s="19" t="s">
        <v>40</v>
      </c>
      <c r="K57" s="19"/>
      <c r="L57" s="19" t="s">
        <v>40</v>
      </c>
      <c r="M57" s="19" t="s">
        <v>40</v>
      </c>
      <c r="N57" s="19"/>
      <c r="O57" s="231"/>
    </row>
    <row r="58" spans="1:15" ht="21">
      <c r="A58" s="50" t="s">
        <v>65</v>
      </c>
      <c r="B58" s="51" t="s">
        <v>0</v>
      </c>
      <c r="C58" s="16">
        <v>1</v>
      </c>
      <c r="D58" s="31"/>
      <c r="E58" s="31"/>
      <c r="F58" s="31"/>
      <c r="G58" s="55">
        <v>361</v>
      </c>
      <c r="H58" s="19">
        <f>H60+H61+H62+H63+H64+H65+H66+H67+H68+H69</f>
        <v>304</v>
      </c>
      <c r="I58" s="19">
        <f>I60+I61+I62+I63+I64+I65+I66+I67+I68+I69</f>
        <v>285</v>
      </c>
      <c r="J58" s="19">
        <f>J60+J61+J62+J63+J64+J65+J66+J67+J68+J69</f>
        <v>215</v>
      </c>
      <c r="K58" s="19">
        <f>K60+K61+K62+K63+K64+K65+K66+K67+K68+K69</f>
        <v>259</v>
      </c>
      <c r="L58" s="19">
        <f t="shared" ref="L58:N58" si="7">L60+L61+L62+L63+L64+L65+L66+L67+L68+L69</f>
        <v>229</v>
      </c>
      <c r="M58" s="19">
        <f t="shared" si="7"/>
        <v>232</v>
      </c>
      <c r="N58" s="19">
        <f t="shared" si="7"/>
        <v>235</v>
      </c>
      <c r="O58" s="231"/>
    </row>
    <row r="59" spans="1:15" ht="21">
      <c r="A59" s="52" t="s">
        <v>56</v>
      </c>
      <c r="B59" s="51"/>
      <c r="C59" s="16"/>
      <c r="D59" s="31"/>
      <c r="E59" s="31"/>
      <c r="F59" s="31"/>
      <c r="G59" s="55"/>
      <c r="H59" s="19"/>
      <c r="I59" s="19"/>
      <c r="J59" s="19"/>
      <c r="K59" s="19"/>
      <c r="L59" s="19"/>
      <c r="M59" s="19"/>
      <c r="N59" s="19"/>
      <c r="O59" s="231"/>
    </row>
    <row r="60" spans="1:15" ht="12.75">
      <c r="A60" s="53" t="s">
        <v>57</v>
      </c>
      <c r="B60" s="51" t="s">
        <v>0</v>
      </c>
      <c r="C60" s="16"/>
      <c r="D60" s="31"/>
      <c r="E60" s="31"/>
      <c r="F60" s="31"/>
      <c r="G60" s="55">
        <v>5</v>
      </c>
      <c r="H60" s="19">
        <v>11</v>
      </c>
      <c r="I60" s="19">
        <v>8</v>
      </c>
      <c r="J60" s="19">
        <v>8</v>
      </c>
      <c r="K60" s="19">
        <v>8</v>
      </c>
      <c r="L60" s="19">
        <v>8</v>
      </c>
      <c r="M60" s="19">
        <v>8</v>
      </c>
      <c r="N60" s="19">
        <v>8</v>
      </c>
      <c r="O60" s="13"/>
    </row>
    <row r="61" spans="1:15" ht="12.75">
      <c r="A61" s="53" t="s">
        <v>58</v>
      </c>
      <c r="B61" s="51" t="s">
        <v>0</v>
      </c>
      <c r="C61" s="16"/>
      <c r="D61" s="31"/>
      <c r="E61" s="31"/>
      <c r="F61" s="31"/>
      <c r="G61" s="55"/>
      <c r="H61" s="19"/>
      <c r="I61" s="19">
        <v>3</v>
      </c>
      <c r="J61" s="19">
        <v>3</v>
      </c>
      <c r="K61" s="19">
        <v>3</v>
      </c>
      <c r="L61" s="19">
        <v>3</v>
      </c>
      <c r="M61" s="19">
        <v>3</v>
      </c>
      <c r="N61" s="19">
        <v>3</v>
      </c>
      <c r="O61" s="13"/>
    </row>
    <row r="62" spans="1:15" ht="21">
      <c r="A62" s="53" t="s">
        <v>59</v>
      </c>
      <c r="B62" s="51" t="s">
        <v>0</v>
      </c>
      <c r="C62" s="16">
        <v>1</v>
      </c>
      <c r="D62" s="31"/>
      <c r="E62" s="31"/>
      <c r="F62" s="31"/>
      <c r="G62" s="55">
        <v>5</v>
      </c>
      <c r="H62" s="19">
        <v>5</v>
      </c>
      <c r="I62" s="19">
        <v>5</v>
      </c>
      <c r="J62" s="19">
        <v>4</v>
      </c>
      <c r="K62" s="19">
        <v>4</v>
      </c>
      <c r="L62" s="19">
        <v>5</v>
      </c>
      <c r="M62" s="19">
        <v>5</v>
      </c>
      <c r="N62" s="19">
        <v>5</v>
      </c>
      <c r="O62" s="13"/>
    </row>
    <row r="63" spans="1:15" ht="12.75">
      <c r="A63" s="53" t="s">
        <v>60</v>
      </c>
      <c r="B63" s="25"/>
      <c r="C63" s="16">
        <v>1</v>
      </c>
      <c r="D63" s="31"/>
      <c r="E63" s="31"/>
      <c r="F63" s="31"/>
      <c r="G63" s="55">
        <v>30</v>
      </c>
      <c r="H63" s="19">
        <v>26</v>
      </c>
      <c r="I63" s="19">
        <v>23</v>
      </c>
      <c r="J63" s="19">
        <v>20</v>
      </c>
      <c r="K63" s="19">
        <v>18</v>
      </c>
      <c r="L63" s="19">
        <v>20</v>
      </c>
      <c r="M63" s="19">
        <v>20</v>
      </c>
      <c r="N63" s="19">
        <v>20</v>
      </c>
      <c r="O63" s="13"/>
    </row>
    <row r="64" spans="1:15" ht="12.75">
      <c r="A64" s="53" t="s">
        <v>66</v>
      </c>
      <c r="B64" s="51" t="s">
        <v>0</v>
      </c>
      <c r="C64" s="16"/>
      <c r="D64" s="31"/>
      <c r="E64" s="31"/>
      <c r="F64" s="31"/>
      <c r="G64" s="55"/>
      <c r="H64" s="19">
        <v>56</v>
      </c>
      <c r="I64" s="19">
        <v>54</v>
      </c>
      <c r="J64" s="19">
        <v>52</v>
      </c>
      <c r="K64" s="19">
        <v>57</v>
      </c>
      <c r="L64" s="19">
        <v>52</v>
      </c>
      <c r="M64" s="19">
        <v>52</v>
      </c>
      <c r="N64" s="19">
        <v>52</v>
      </c>
      <c r="O64" s="13"/>
    </row>
    <row r="65" spans="1:15" ht="31.5">
      <c r="A65" s="53" t="s">
        <v>61</v>
      </c>
      <c r="B65" s="51" t="s">
        <v>0</v>
      </c>
      <c r="C65" s="16"/>
      <c r="D65" s="31"/>
      <c r="E65" s="31"/>
      <c r="F65" s="31"/>
      <c r="G65" s="55">
        <v>120</v>
      </c>
      <c r="H65" s="19">
        <v>69</v>
      </c>
      <c r="I65" s="19">
        <v>66</v>
      </c>
      <c r="J65" s="19">
        <v>62</v>
      </c>
      <c r="K65" s="19">
        <v>59</v>
      </c>
      <c r="L65" s="19">
        <v>65</v>
      </c>
      <c r="M65" s="19">
        <v>65</v>
      </c>
      <c r="N65" s="19">
        <v>65</v>
      </c>
      <c r="O65" s="13"/>
    </row>
    <row r="66" spans="1:15" ht="12.75">
      <c r="A66" s="53" t="s">
        <v>62</v>
      </c>
      <c r="B66" s="51" t="s">
        <v>0</v>
      </c>
      <c r="C66" s="16">
        <v>1</v>
      </c>
      <c r="D66" s="31"/>
      <c r="E66" s="31"/>
      <c r="F66" s="31"/>
      <c r="G66" s="55">
        <v>1</v>
      </c>
      <c r="H66" s="19">
        <v>1</v>
      </c>
      <c r="I66" s="19">
        <v>1</v>
      </c>
      <c r="J66" s="19">
        <v>1</v>
      </c>
      <c r="K66" s="19"/>
      <c r="L66" s="19">
        <v>1</v>
      </c>
      <c r="M66" s="19">
        <v>1</v>
      </c>
      <c r="N66" s="19">
        <v>1</v>
      </c>
      <c r="O66" s="13"/>
    </row>
    <row r="67" spans="1:15" ht="21">
      <c r="A67" s="53" t="s">
        <v>63</v>
      </c>
      <c r="B67" s="51" t="s">
        <v>0</v>
      </c>
      <c r="C67" s="16">
        <v>1</v>
      </c>
      <c r="D67" s="31"/>
      <c r="E67" s="31"/>
      <c r="F67" s="31"/>
      <c r="G67" s="55"/>
      <c r="H67" s="19"/>
      <c r="I67" s="19"/>
      <c r="J67" s="19"/>
      <c r="K67" s="19"/>
      <c r="L67" s="19"/>
      <c r="M67" s="19"/>
      <c r="N67" s="19"/>
      <c r="O67" s="13"/>
    </row>
    <row r="68" spans="1:15" ht="12.75">
      <c r="A68" s="53" t="s">
        <v>64</v>
      </c>
      <c r="B68" s="51" t="s">
        <v>0</v>
      </c>
      <c r="C68" s="16">
        <v>1</v>
      </c>
      <c r="D68" s="31"/>
      <c r="E68" s="31"/>
      <c r="F68" s="31"/>
      <c r="G68" s="55"/>
      <c r="H68" s="19"/>
      <c r="I68" s="19"/>
      <c r="J68" s="19"/>
      <c r="K68" s="19"/>
      <c r="L68" s="19"/>
      <c r="M68" s="19"/>
      <c r="N68" s="19"/>
      <c r="O68" s="13"/>
    </row>
    <row r="69" spans="1:15" ht="12.75">
      <c r="A69" s="53" t="s">
        <v>67</v>
      </c>
      <c r="B69" s="51"/>
      <c r="C69" s="16"/>
      <c r="D69" s="31"/>
      <c r="E69" s="31"/>
      <c r="F69" s="31"/>
      <c r="G69" s="55">
        <f>G58-G60-G61-G62-G63-G65-G66</f>
        <v>200</v>
      </c>
      <c r="H69" s="19">
        <v>136</v>
      </c>
      <c r="I69" s="19">
        <v>125</v>
      </c>
      <c r="J69" s="19">
        <v>65</v>
      </c>
      <c r="K69" s="19">
        <v>110</v>
      </c>
      <c r="L69" s="19">
        <v>75</v>
      </c>
      <c r="M69" s="19">
        <v>78</v>
      </c>
      <c r="N69" s="19">
        <v>81</v>
      </c>
      <c r="O69" s="13"/>
    </row>
    <row r="70" spans="1:15" ht="32.25" customHeight="1">
      <c r="A70" s="50" t="s">
        <v>68</v>
      </c>
      <c r="B70" s="51" t="s">
        <v>13</v>
      </c>
      <c r="C70" s="16">
        <v>1</v>
      </c>
      <c r="D70" s="31"/>
      <c r="E70" s="31"/>
      <c r="F70" s="31"/>
      <c r="G70" s="18">
        <v>1291</v>
      </c>
      <c r="H70" s="19">
        <f>1.08+2.16</f>
        <v>3.24</v>
      </c>
      <c r="I70" s="19">
        <f>1.054+2.419</f>
        <v>3.4729999999999999</v>
      </c>
      <c r="J70" s="240">
        <v>3.488</v>
      </c>
      <c r="K70" s="19">
        <f>(1294+1733)/1000</f>
        <v>3.0270000000000001</v>
      </c>
      <c r="L70" s="19">
        <v>3.6</v>
      </c>
      <c r="M70" s="19">
        <v>3.65</v>
      </c>
      <c r="N70" s="19">
        <v>3.65</v>
      </c>
      <c r="O70" s="13"/>
    </row>
    <row r="71" spans="1:15" ht="12.75">
      <c r="A71" s="50" t="s">
        <v>69</v>
      </c>
      <c r="B71" s="51" t="s">
        <v>21</v>
      </c>
      <c r="C71" s="16"/>
      <c r="D71" s="31"/>
      <c r="E71" s="31"/>
      <c r="F71" s="31"/>
      <c r="G71" s="18" t="s">
        <v>40</v>
      </c>
      <c r="H71" s="19">
        <v>2</v>
      </c>
      <c r="I71" s="19">
        <v>2</v>
      </c>
      <c r="J71" s="19">
        <v>2</v>
      </c>
      <c r="K71" s="19">
        <v>2</v>
      </c>
      <c r="L71" s="19">
        <v>2</v>
      </c>
      <c r="M71" s="19">
        <v>2</v>
      </c>
      <c r="N71" s="19">
        <v>2</v>
      </c>
      <c r="O71" s="13"/>
    </row>
    <row r="72" spans="1:15" ht="12.75">
      <c r="A72" s="52" t="s">
        <v>70</v>
      </c>
      <c r="B72" s="51"/>
      <c r="C72" s="16"/>
      <c r="D72" s="31"/>
      <c r="E72" s="31"/>
      <c r="F72" s="31"/>
      <c r="G72" s="18" t="s">
        <v>40</v>
      </c>
      <c r="H72" s="19"/>
      <c r="I72" s="19" t="s">
        <v>40</v>
      </c>
      <c r="J72" s="19" t="s">
        <v>40</v>
      </c>
      <c r="K72" s="19" t="s">
        <v>40</v>
      </c>
      <c r="L72" s="19" t="s">
        <v>40</v>
      </c>
      <c r="M72" s="19" t="s">
        <v>40</v>
      </c>
      <c r="N72" s="19" t="s">
        <v>40</v>
      </c>
      <c r="O72" s="13"/>
    </row>
    <row r="73" spans="1:15" ht="12.75">
      <c r="A73" s="53" t="s">
        <v>57</v>
      </c>
      <c r="B73" s="51" t="s">
        <v>21</v>
      </c>
      <c r="C73" s="16"/>
      <c r="D73" s="31"/>
      <c r="E73" s="31"/>
      <c r="F73" s="31"/>
      <c r="G73" s="18" t="s">
        <v>40</v>
      </c>
      <c r="H73" s="19" t="s">
        <v>40</v>
      </c>
      <c r="I73" s="19" t="s">
        <v>40</v>
      </c>
      <c r="J73" s="19" t="s">
        <v>40</v>
      </c>
      <c r="K73" s="19" t="s">
        <v>40</v>
      </c>
      <c r="L73" s="19" t="s">
        <v>40</v>
      </c>
      <c r="M73" s="19" t="s">
        <v>40</v>
      </c>
      <c r="N73" s="19" t="s">
        <v>40</v>
      </c>
      <c r="O73" s="13"/>
    </row>
    <row r="74" spans="1:15" ht="12.75">
      <c r="A74" s="53" t="s">
        <v>58</v>
      </c>
      <c r="B74" s="51" t="s">
        <v>21</v>
      </c>
      <c r="C74" s="16"/>
      <c r="D74" s="31"/>
      <c r="E74" s="31"/>
      <c r="F74" s="31"/>
      <c r="G74" s="18" t="s">
        <v>40</v>
      </c>
      <c r="H74" s="19" t="s">
        <v>40</v>
      </c>
      <c r="I74" s="19" t="s">
        <v>40</v>
      </c>
      <c r="J74" s="19" t="s">
        <v>40</v>
      </c>
      <c r="K74" s="19" t="s">
        <v>40</v>
      </c>
      <c r="L74" s="19" t="s">
        <v>40</v>
      </c>
      <c r="M74" s="19" t="s">
        <v>40</v>
      </c>
      <c r="N74" s="19" t="s">
        <v>40</v>
      </c>
      <c r="O74" s="13"/>
    </row>
    <row r="75" spans="1:15" ht="21">
      <c r="A75" s="53" t="s">
        <v>59</v>
      </c>
      <c r="B75" s="51" t="s">
        <v>21</v>
      </c>
      <c r="C75" s="16"/>
      <c r="D75" s="31"/>
      <c r="E75" s="31"/>
      <c r="F75" s="31"/>
      <c r="G75" s="18" t="s">
        <v>40</v>
      </c>
      <c r="H75" s="19" t="s">
        <v>40</v>
      </c>
      <c r="I75" s="19" t="s">
        <v>40</v>
      </c>
      <c r="J75" s="19" t="s">
        <v>40</v>
      </c>
      <c r="K75" s="19" t="s">
        <v>40</v>
      </c>
      <c r="L75" s="19" t="s">
        <v>40</v>
      </c>
      <c r="M75" s="19" t="s">
        <v>40</v>
      </c>
      <c r="N75" s="19" t="s">
        <v>40</v>
      </c>
      <c r="O75" s="13"/>
    </row>
    <row r="76" spans="1:15" ht="12.75">
      <c r="A76" s="53" t="s">
        <v>60</v>
      </c>
      <c r="B76" s="51" t="s">
        <v>21</v>
      </c>
      <c r="C76" s="16"/>
      <c r="D76" s="31"/>
      <c r="E76" s="31"/>
      <c r="F76" s="31"/>
      <c r="G76" s="18" t="s">
        <v>40</v>
      </c>
      <c r="H76" s="19" t="s">
        <v>40</v>
      </c>
      <c r="I76" s="19" t="s">
        <v>40</v>
      </c>
      <c r="J76" s="19" t="s">
        <v>40</v>
      </c>
      <c r="K76" s="19" t="s">
        <v>40</v>
      </c>
      <c r="L76" s="19" t="s">
        <v>40</v>
      </c>
      <c r="M76" s="19" t="s">
        <v>40</v>
      </c>
      <c r="N76" s="19" t="s">
        <v>40</v>
      </c>
      <c r="O76" s="13"/>
    </row>
    <row r="77" spans="1:15" ht="31.5">
      <c r="A77" s="53" t="s">
        <v>61</v>
      </c>
      <c r="B77" s="51" t="s">
        <v>21</v>
      </c>
      <c r="C77" s="16"/>
      <c r="D77" s="31"/>
      <c r="E77" s="31"/>
      <c r="F77" s="31"/>
      <c r="G77" s="18" t="s">
        <v>40</v>
      </c>
      <c r="H77" s="19" t="s">
        <v>40</v>
      </c>
      <c r="I77" s="19" t="s">
        <v>40</v>
      </c>
      <c r="J77" s="19" t="s">
        <v>40</v>
      </c>
      <c r="K77" s="19" t="s">
        <v>40</v>
      </c>
      <c r="L77" s="19" t="s">
        <v>40</v>
      </c>
      <c r="M77" s="19" t="s">
        <v>40</v>
      </c>
      <c r="N77" s="19" t="s">
        <v>40</v>
      </c>
      <c r="O77" s="13"/>
    </row>
    <row r="78" spans="1:15" ht="12.75">
      <c r="A78" s="53" t="s">
        <v>62</v>
      </c>
      <c r="B78" s="51" t="s">
        <v>21</v>
      </c>
      <c r="C78" s="16"/>
      <c r="D78" s="31"/>
      <c r="E78" s="31"/>
      <c r="F78" s="31"/>
      <c r="G78" s="18" t="s">
        <v>40</v>
      </c>
      <c r="H78" s="19" t="s">
        <v>40</v>
      </c>
      <c r="I78" s="19" t="s">
        <v>40</v>
      </c>
      <c r="J78" s="19" t="s">
        <v>40</v>
      </c>
      <c r="K78" s="19"/>
      <c r="L78" s="19" t="s">
        <v>40</v>
      </c>
      <c r="M78" s="19"/>
      <c r="N78" s="19"/>
      <c r="O78" s="13"/>
    </row>
    <row r="79" spans="1:15" ht="21">
      <c r="A79" s="53" t="s">
        <v>71</v>
      </c>
      <c r="B79" s="51" t="s">
        <v>21</v>
      </c>
      <c r="C79" s="16"/>
      <c r="D79" s="31"/>
      <c r="E79" s="31"/>
      <c r="F79" s="31"/>
      <c r="G79" s="18" t="s">
        <v>40</v>
      </c>
      <c r="H79" s="19" t="s">
        <v>40</v>
      </c>
      <c r="I79" s="19" t="s">
        <v>40</v>
      </c>
      <c r="J79" s="19" t="s">
        <v>40</v>
      </c>
      <c r="K79" s="19"/>
      <c r="L79" s="19" t="s">
        <v>40</v>
      </c>
      <c r="M79" s="19"/>
      <c r="N79" s="19"/>
      <c r="O79" s="13"/>
    </row>
    <row r="80" spans="1:15" ht="12.75">
      <c r="A80" s="56" t="s">
        <v>31</v>
      </c>
      <c r="B80" s="51"/>
      <c r="C80" s="16"/>
      <c r="D80" s="31"/>
      <c r="E80" s="31"/>
      <c r="F80" s="31"/>
      <c r="G80" s="18" t="s">
        <v>40</v>
      </c>
      <c r="H80" s="19" t="s">
        <v>40</v>
      </c>
      <c r="I80" s="19" t="s">
        <v>40</v>
      </c>
      <c r="J80" s="19" t="s">
        <v>40</v>
      </c>
      <c r="K80" s="19"/>
      <c r="L80" s="19" t="s">
        <v>40</v>
      </c>
      <c r="M80" s="19"/>
      <c r="N80" s="19"/>
      <c r="O80" s="13"/>
    </row>
    <row r="81" spans="1:17" ht="12.75">
      <c r="A81" s="53" t="s">
        <v>72</v>
      </c>
      <c r="B81" s="51" t="s">
        <v>21</v>
      </c>
      <c r="C81" s="16"/>
      <c r="D81" s="31"/>
      <c r="E81" s="31"/>
      <c r="F81" s="31"/>
      <c r="G81" s="18" t="s">
        <v>40</v>
      </c>
      <c r="H81" s="19" t="s">
        <v>40</v>
      </c>
      <c r="I81" s="19" t="s">
        <v>40</v>
      </c>
      <c r="J81" s="19" t="s">
        <v>40</v>
      </c>
      <c r="K81" s="19"/>
      <c r="L81" s="19" t="s">
        <v>40</v>
      </c>
      <c r="M81" s="19"/>
      <c r="N81" s="19"/>
      <c r="O81" s="13"/>
    </row>
    <row r="82" spans="1:17" ht="35.25" customHeight="1">
      <c r="A82" s="50" t="s">
        <v>73</v>
      </c>
      <c r="B82" s="51" t="s">
        <v>21</v>
      </c>
      <c r="C82" s="16"/>
      <c r="D82" s="31"/>
      <c r="E82" s="31"/>
      <c r="F82" s="31"/>
      <c r="G82" s="18" t="e">
        <f>G84+G85+G86+G87+G88+G90+#REF!+#REF!</f>
        <v>#REF!</v>
      </c>
      <c r="H82" s="19">
        <v>1891.9</v>
      </c>
      <c r="I82" s="19">
        <v>2411.59</v>
      </c>
      <c r="J82" s="19">
        <v>2713.37</v>
      </c>
      <c r="K82" s="19">
        <v>3134.0549999999998</v>
      </c>
      <c r="L82" s="19">
        <v>3042.7</v>
      </c>
      <c r="M82" s="19">
        <f>L82*1.05</f>
        <v>3194.835</v>
      </c>
      <c r="N82" s="19">
        <f>M82*1.05</f>
        <v>3354.5767500000002</v>
      </c>
      <c r="O82" s="232"/>
    </row>
    <row r="83" spans="1:17" ht="14.25" customHeight="1">
      <c r="A83" s="52" t="s">
        <v>70</v>
      </c>
      <c r="B83" s="51"/>
      <c r="C83" s="16"/>
      <c r="D83" s="31"/>
      <c r="E83" s="31"/>
      <c r="F83" s="31"/>
      <c r="G83" s="18"/>
      <c r="H83" s="19"/>
      <c r="I83" s="19"/>
      <c r="J83" s="19"/>
      <c r="K83" s="19"/>
      <c r="L83" s="19"/>
      <c r="M83" s="19"/>
      <c r="N83" s="19"/>
      <c r="O83" s="13"/>
    </row>
    <row r="84" spans="1:17" ht="14.25" customHeight="1">
      <c r="A84" s="53" t="s">
        <v>57</v>
      </c>
      <c r="B84" s="51" t="s">
        <v>21</v>
      </c>
      <c r="C84" s="16"/>
      <c r="D84" s="31"/>
      <c r="E84" s="31"/>
      <c r="F84" s="31"/>
      <c r="G84" s="41">
        <v>155.63999999999999</v>
      </c>
      <c r="H84" s="19">
        <v>341.1</v>
      </c>
      <c r="I84" s="19">
        <v>331.4</v>
      </c>
      <c r="J84" s="19">
        <v>448.1</v>
      </c>
      <c r="K84" s="19">
        <v>760.55200000000002</v>
      </c>
      <c r="L84" s="19">
        <v>297</v>
      </c>
      <c r="M84" s="19">
        <v>297</v>
      </c>
      <c r="N84" s="19">
        <v>297</v>
      </c>
      <c r="O84" s="13"/>
    </row>
    <row r="85" spans="1:17" ht="14.25" customHeight="1">
      <c r="A85" s="53" t="s">
        <v>58</v>
      </c>
      <c r="B85" s="51" t="s">
        <v>21</v>
      </c>
      <c r="C85" s="16"/>
      <c r="D85" s="31"/>
      <c r="E85" s="31"/>
      <c r="F85" s="31"/>
      <c r="G85" s="18">
        <v>31.25</v>
      </c>
      <c r="H85" s="19">
        <v>218.4</v>
      </c>
      <c r="I85" s="19">
        <v>407</v>
      </c>
      <c r="J85" s="19">
        <v>412.51</v>
      </c>
      <c r="K85" s="19">
        <v>153.078</v>
      </c>
      <c r="L85" s="19">
        <v>45</v>
      </c>
      <c r="M85" s="19">
        <v>45</v>
      </c>
      <c r="N85" s="19">
        <v>45</v>
      </c>
      <c r="O85" s="13"/>
    </row>
    <row r="86" spans="1:17" ht="14.25" customHeight="1">
      <c r="A86" s="53" t="s">
        <v>59</v>
      </c>
      <c r="B86" s="51" t="s">
        <v>21</v>
      </c>
      <c r="C86" s="16"/>
      <c r="D86" s="31"/>
      <c r="E86" s="31"/>
      <c r="F86" s="31"/>
      <c r="G86" s="18">
        <v>517.47</v>
      </c>
      <c r="H86" s="19">
        <v>164.95</v>
      </c>
      <c r="I86" s="19">
        <v>477.16</v>
      </c>
      <c r="J86" s="19">
        <v>494.89</v>
      </c>
      <c r="K86" s="19">
        <v>531.70000000000005</v>
      </c>
      <c r="L86" s="19">
        <f>J86*112/100</f>
        <v>554.27679999999998</v>
      </c>
      <c r="M86" s="19">
        <f>L86*112/100</f>
        <v>620.79001599999992</v>
      </c>
      <c r="N86" s="19">
        <f>M86*112/100</f>
        <v>695.28481791999991</v>
      </c>
      <c r="O86" s="13"/>
    </row>
    <row r="87" spans="1:17" ht="14.25" customHeight="1">
      <c r="A87" s="53" t="s">
        <v>60</v>
      </c>
      <c r="B87" s="51" t="s">
        <v>21</v>
      </c>
      <c r="C87" s="16"/>
      <c r="D87" s="31"/>
      <c r="E87" s="31"/>
      <c r="F87" s="31"/>
      <c r="G87" s="18">
        <v>593.11</v>
      </c>
      <c r="H87" s="19">
        <v>370.04</v>
      </c>
      <c r="I87" s="19">
        <v>512.73</v>
      </c>
      <c r="J87" s="19">
        <v>528.11</v>
      </c>
      <c r="K87" s="19">
        <v>587.94299999999998</v>
      </c>
      <c r="L87" s="19">
        <v>1109</v>
      </c>
      <c r="M87" s="19">
        <v>1109</v>
      </c>
      <c r="N87" s="19">
        <v>1109</v>
      </c>
      <c r="O87" s="13"/>
    </row>
    <row r="88" spans="1:17" ht="35.25" customHeight="1">
      <c r="A88" s="53" t="s">
        <v>61</v>
      </c>
      <c r="B88" s="51" t="s">
        <v>21</v>
      </c>
      <c r="C88" s="16"/>
      <c r="D88" s="31"/>
      <c r="E88" s="31"/>
      <c r="F88" s="31"/>
      <c r="G88" s="18">
        <v>239.35</v>
      </c>
      <c r="H88" s="19">
        <f>185.56+0.25</f>
        <v>185.81</v>
      </c>
      <c r="I88" s="19">
        <v>98.62</v>
      </c>
      <c r="J88" s="19">
        <v>101.57</v>
      </c>
      <c r="K88" s="19">
        <v>112.512</v>
      </c>
      <c r="L88" s="19">
        <v>306</v>
      </c>
      <c r="M88" s="19">
        <v>306</v>
      </c>
      <c r="N88" s="19">
        <v>306</v>
      </c>
      <c r="O88" s="13"/>
    </row>
    <row r="89" spans="1:17" ht="20.25" customHeight="1">
      <c r="A89" s="53" t="s">
        <v>74</v>
      </c>
      <c r="B89" s="51"/>
      <c r="C89" s="16"/>
      <c r="D89" s="31"/>
      <c r="E89" s="31"/>
      <c r="F89" s="31"/>
      <c r="G89" s="18"/>
      <c r="H89" s="19">
        <v>184.88</v>
      </c>
      <c r="I89" s="19">
        <v>166.36</v>
      </c>
      <c r="J89" s="19">
        <v>235.23</v>
      </c>
      <c r="K89" s="19">
        <v>306.29899999999998</v>
      </c>
      <c r="L89" s="19"/>
      <c r="M89" s="19"/>
      <c r="N89" s="19"/>
      <c r="O89" s="13"/>
    </row>
    <row r="90" spans="1:17" ht="23.25" customHeight="1">
      <c r="A90" s="53" t="s">
        <v>62</v>
      </c>
      <c r="B90" s="51" t="s">
        <v>21</v>
      </c>
      <c r="C90" s="16"/>
      <c r="D90" s="31"/>
      <c r="E90" s="31"/>
      <c r="F90" s="31"/>
      <c r="G90" s="18">
        <f>20/1000</f>
        <v>0.02</v>
      </c>
      <c r="H90" s="19">
        <v>0.05</v>
      </c>
      <c r="I90" s="19">
        <v>0.05</v>
      </c>
      <c r="J90" s="19">
        <v>0.05</v>
      </c>
      <c r="K90" s="19"/>
      <c r="L90" s="19">
        <v>4.5999999999999996</v>
      </c>
      <c r="M90" s="19">
        <v>4.5999999999999996</v>
      </c>
      <c r="N90" s="19">
        <v>4.5999999999999996</v>
      </c>
      <c r="O90" s="13"/>
    </row>
    <row r="91" spans="1:17" ht="23.25" customHeight="1">
      <c r="A91" s="53" t="s">
        <v>71</v>
      </c>
      <c r="B91" s="51" t="s">
        <v>21</v>
      </c>
      <c r="C91" s="16"/>
      <c r="D91" s="31"/>
      <c r="E91" s="31"/>
      <c r="F91" s="31"/>
      <c r="G91" s="18" t="s">
        <v>40</v>
      </c>
      <c r="H91" s="19" t="s">
        <v>40</v>
      </c>
      <c r="I91" s="19" t="s">
        <v>40</v>
      </c>
      <c r="J91" s="19" t="s">
        <v>40</v>
      </c>
      <c r="K91" s="19"/>
      <c r="L91" s="19" t="s">
        <v>40</v>
      </c>
      <c r="M91" s="19" t="s">
        <v>40</v>
      </c>
      <c r="N91" s="19"/>
      <c r="O91" s="13"/>
    </row>
    <row r="92" spans="1:17" ht="35.25" customHeight="1">
      <c r="A92" s="24" t="s">
        <v>75</v>
      </c>
      <c r="B92" s="15"/>
      <c r="C92" s="16"/>
      <c r="D92" s="31"/>
      <c r="E92" s="31"/>
      <c r="F92" s="31"/>
      <c r="G92" s="18"/>
      <c r="H92" s="19"/>
      <c r="I92" s="19"/>
      <c r="J92" s="19"/>
      <c r="K92" s="19">
        <v>4216</v>
      </c>
      <c r="L92" s="19">
        <f>K98*10/100</f>
        <v>6.6</v>
      </c>
      <c r="M92" s="19"/>
      <c r="N92" s="19"/>
      <c r="O92" s="13"/>
    </row>
    <row r="93" spans="1:17" ht="21">
      <c r="A93" s="57" t="s">
        <v>76</v>
      </c>
      <c r="B93" s="58" t="s">
        <v>21</v>
      </c>
      <c r="C93" s="16">
        <v>1</v>
      </c>
      <c r="D93" s="31"/>
      <c r="E93" s="31"/>
      <c r="F93" s="31"/>
      <c r="G93" s="18">
        <v>5135.8</v>
      </c>
      <c r="H93" s="19">
        <v>1736.25</v>
      </c>
      <c r="I93" s="19">
        <v>3356.31</v>
      </c>
      <c r="J93" s="32">
        <f>J96+J105+J111+J112</f>
        <v>3858.1299999999997</v>
      </c>
      <c r="K93" s="132">
        <v>4343.29</v>
      </c>
      <c r="L93" s="132">
        <v>4822.2</v>
      </c>
      <c r="M93" s="119">
        <v>4967</v>
      </c>
      <c r="N93" s="119">
        <v>5091</v>
      </c>
      <c r="O93" s="13"/>
    </row>
    <row r="94" spans="1:17" ht="12.75">
      <c r="A94" s="14" t="s">
        <v>14</v>
      </c>
      <c r="B94" s="20" t="s">
        <v>15</v>
      </c>
      <c r="C94" s="16"/>
      <c r="D94" s="31"/>
      <c r="E94" s="31"/>
      <c r="F94" s="31"/>
      <c r="G94" s="18"/>
      <c r="H94" s="21">
        <f>H93/G93*100/H95*100</f>
        <v>31.624702636723356</v>
      </c>
      <c r="I94" s="21">
        <f t="shared" ref="I94" si="8">I93/H93*100/I95*100</f>
        <v>179.98881877159323</v>
      </c>
      <c r="J94" s="21">
        <f>J93/I93/J95*10000</f>
        <v>102.7270232720176</v>
      </c>
      <c r="K94" s="121">
        <f>K93/J93/K95*10000</f>
        <v>100.60322069052019</v>
      </c>
      <c r="L94" s="121"/>
      <c r="M94" s="121"/>
      <c r="N94" s="121"/>
      <c r="O94" s="13"/>
    </row>
    <row r="95" spans="1:17" ht="12.75">
      <c r="A95" s="14" t="s">
        <v>16</v>
      </c>
      <c r="B95" s="20" t="s">
        <v>15</v>
      </c>
      <c r="C95" s="16"/>
      <c r="D95" s="31"/>
      <c r="E95" s="31"/>
      <c r="F95" s="31"/>
      <c r="G95" s="18"/>
      <c r="H95" s="21">
        <v>106.9</v>
      </c>
      <c r="I95" s="21">
        <v>107.4</v>
      </c>
      <c r="J95" s="21">
        <v>111.9</v>
      </c>
      <c r="K95" s="121">
        <v>111.9</v>
      </c>
      <c r="L95" s="121"/>
      <c r="M95" s="121"/>
      <c r="N95" s="121"/>
      <c r="O95" s="13"/>
    </row>
    <row r="96" spans="1:17" ht="31.5">
      <c r="A96" s="36" t="s">
        <v>77</v>
      </c>
      <c r="B96" s="58" t="s">
        <v>49</v>
      </c>
      <c r="C96" s="16">
        <v>1</v>
      </c>
      <c r="D96" s="31"/>
      <c r="E96" s="31"/>
      <c r="F96" s="31"/>
      <c r="G96" s="18">
        <v>556.29999999999995</v>
      </c>
      <c r="H96" s="19">
        <v>37.64</v>
      </c>
      <c r="I96" s="19">
        <v>64.709999999999994</v>
      </c>
      <c r="J96" s="19">
        <v>1587.03</v>
      </c>
      <c r="K96" s="19">
        <f>K98+K99</f>
        <v>105</v>
      </c>
      <c r="L96" s="19">
        <v>37.64</v>
      </c>
      <c r="M96" s="19">
        <v>37.64</v>
      </c>
      <c r="N96" s="19">
        <v>37.64</v>
      </c>
      <c r="O96" s="229"/>
      <c r="P96" s="37"/>
      <c r="Q96" s="37"/>
    </row>
    <row r="97" spans="1:15" ht="12.75">
      <c r="A97" s="36" t="s">
        <v>78</v>
      </c>
      <c r="B97" s="15"/>
      <c r="C97" s="16"/>
      <c r="D97" s="31"/>
      <c r="E97" s="31"/>
      <c r="F97" s="31"/>
      <c r="G97" s="18"/>
      <c r="H97" s="19"/>
      <c r="I97" s="19"/>
      <c r="J97" s="19"/>
      <c r="K97" s="19"/>
      <c r="L97" s="19"/>
      <c r="M97" s="19"/>
      <c r="N97" s="19"/>
      <c r="O97" s="13"/>
    </row>
    <row r="98" spans="1:15" ht="12.75">
      <c r="A98" s="59" t="s">
        <v>79</v>
      </c>
      <c r="B98" s="58" t="s">
        <v>49</v>
      </c>
      <c r="C98" s="16">
        <v>1</v>
      </c>
      <c r="D98" s="31"/>
      <c r="E98" s="31"/>
      <c r="F98" s="31"/>
      <c r="G98" s="18"/>
      <c r="H98" s="19"/>
      <c r="I98" s="19"/>
      <c r="J98" s="19">
        <f>J96-J99</f>
        <v>1548.33</v>
      </c>
      <c r="K98" s="19">
        <v>66</v>
      </c>
      <c r="L98" s="19">
        <f>K9810/100</f>
        <v>0</v>
      </c>
      <c r="M98" s="19"/>
      <c r="N98" s="19"/>
      <c r="O98" s="13"/>
    </row>
    <row r="99" spans="1:15" ht="12.75">
      <c r="A99" s="59" t="s">
        <v>80</v>
      </c>
      <c r="B99" s="58" t="s">
        <v>49</v>
      </c>
      <c r="C99" s="16">
        <v>1</v>
      </c>
      <c r="D99" s="31"/>
      <c r="E99" s="31"/>
      <c r="F99" s="31"/>
      <c r="G99" s="18"/>
      <c r="H99" s="19"/>
      <c r="I99" s="19">
        <v>37.6</v>
      </c>
      <c r="J99" s="19">
        <v>38.700000000000003</v>
      </c>
      <c r="K99" s="19">
        <v>39</v>
      </c>
      <c r="L99" s="19">
        <v>38.81</v>
      </c>
      <c r="M99" s="19">
        <v>39.5</v>
      </c>
      <c r="N99" s="19">
        <v>39.5</v>
      </c>
      <c r="O99" s="13"/>
    </row>
    <row r="100" spans="1:15" ht="21">
      <c r="A100" s="36" t="s">
        <v>81</v>
      </c>
      <c r="B100" s="58" t="s">
        <v>49</v>
      </c>
      <c r="C100" s="16">
        <v>1</v>
      </c>
      <c r="D100" s="31"/>
      <c r="E100" s="31"/>
      <c r="F100" s="31"/>
      <c r="G100" s="18">
        <f>G102+G105+G111</f>
        <v>4569.4400000000005</v>
      </c>
      <c r="H100" s="19">
        <f t="shared" ref="H100:N100" si="9">H102+H105+H111+H112</f>
        <v>1698.6</v>
      </c>
      <c r="I100" s="19">
        <f t="shared" si="9"/>
        <v>2412.0600000000004</v>
      </c>
      <c r="J100" s="19">
        <f>J102+J105+J111+J112</f>
        <v>2271.1</v>
      </c>
      <c r="K100" s="19">
        <f>K102+K105+K111+K112</f>
        <v>2386.502688</v>
      </c>
      <c r="L100" s="19">
        <f t="shared" si="9"/>
        <v>1759.7</v>
      </c>
      <c r="M100" s="19">
        <f t="shared" si="9"/>
        <v>1775.7</v>
      </c>
      <c r="N100" s="19">
        <f t="shared" si="9"/>
        <v>1775.7</v>
      </c>
      <c r="O100" s="232"/>
    </row>
    <row r="101" spans="1:15" ht="12.75">
      <c r="A101" s="36" t="s">
        <v>78</v>
      </c>
      <c r="B101" s="15"/>
      <c r="C101" s="16"/>
      <c r="D101" s="31"/>
      <c r="E101" s="31"/>
      <c r="F101" s="31"/>
      <c r="G101" s="18"/>
      <c r="H101" s="19"/>
      <c r="I101" s="19"/>
      <c r="J101" s="19"/>
      <c r="K101" s="19"/>
      <c r="L101" s="19"/>
      <c r="M101" s="19"/>
      <c r="N101" s="19"/>
      <c r="O101" s="13"/>
    </row>
    <row r="102" spans="1:15" ht="12.75">
      <c r="A102" s="59" t="s">
        <v>82</v>
      </c>
      <c r="B102" s="58" t="s">
        <v>49</v>
      </c>
      <c r="C102" s="16">
        <v>1</v>
      </c>
      <c r="D102" s="31"/>
      <c r="E102" s="31"/>
      <c r="F102" s="31"/>
      <c r="G102" s="18">
        <v>219.57</v>
      </c>
      <c r="H102" s="19">
        <v>34.173000000000002</v>
      </c>
      <c r="I102" s="19">
        <v>42.65</v>
      </c>
      <c r="J102" s="19"/>
      <c r="K102" s="19">
        <v>15</v>
      </c>
      <c r="L102" s="19">
        <v>47</v>
      </c>
      <c r="M102" s="19">
        <v>47</v>
      </c>
      <c r="N102" s="19">
        <v>47</v>
      </c>
      <c r="O102" s="13"/>
    </row>
    <row r="103" spans="1:15" ht="14.25" customHeight="1">
      <c r="A103" s="61" t="s">
        <v>83</v>
      </c>
      <c r="B103" s="58" t="s">
        <v>49</v>
      </c>
      <c r="C103" s="16">
        <v>1</v>
      </c>
      <c r="D103" s="31"/>
      <c r="E103" s="31"/>
      <c r="F103" s="31"/>
      <c r="G103" s="18"/>
      <c r="H103" s="19"/>
      <c r="I103" s="19"/>
      <c r="J103" s="19"/>
      <c r="K103" s="19"/>
      <c r="L103" s="19"/>
      <c r="M103" s="19"/>
      <c r="N103" s="19"/>
      <c r="O103" s="13"/>
    </row>
    <row r="104" spans="1:15" ht="12.75">
      <c r="A104" s="59" t="s">
        <v>84</v>
      </c>
      <c r="B104" s="58" t="s">
        <v>49</v>
      </c>
      <c r="C104" s="16">
        <v>1</v>
      </c>
      <c r="D104" s="31"/>
      <c r="E104" s="31"/>
      <c r="F104" s="31"/>
      <c r="G104" s="18"/>
      <c r="H104" s="19"/>
      <c r="I104" s="19"/>
      <c r="J104" s="19"/>
      <c r="K104" s="19"/>
      <c r="L104" s="19"/>
      <c r="M104" s="19"/>
      <c r="N104" s="19"/>
      <c r="O104" s="13"/>
    </row>
    <row r="105" spans="1:15" ht="12.75">
      <c r="A105" s="59" t="s">
        <v>85</v>
      </c>
      <c r="B105" s="58" t="s">
        <v>49</v>
      </c>
      <c r="C105" s="16">
        <v>1</v>
      </c>
      <c r="D105" s="31"/>
      <c r="E105" s="31"/>
      <c r="F105" s="31"/>
      <c r="G105" s="18">
        <f t="shared" ref="G105:N105" si="10">G107+G109+G110</f>
        <v>1543.18</v>
      </c>
      <c r="H105" s="19">
        <f t="shared" si="10"/>
        <v>1116.6869999999999</v>
      </c>
      <c r="I105" s="19">
        <v>1378.99</v>
      </c>
      <c r="J105" s="19">
        <f>J107+J109+J110</f>
        <v>321.11</v>
      </c>
      <c r="K105" s="19">
        <f>K107+K109+K110</f>
        <v>241</v>
      </c>
      <c r="L105" s="19">
        <f t="shared" si="10"/>
        <v>1066</v>
      </c>
      <c r="M105" s="19">
        <f t="shared" si="10"/>
        <v>1082</v>
      </c>
      <c r="N105" s="19">
        <f t="shared" si="10"/>
        <v>1082</v>
      </c>
      <c r="O105" s="13"/>
    </row>
    <row r="106" spans="1:15" ht="12.75">
      <c r="A106" s="59" t="s">
        <v>31</v>
      </c>
      <c r="B106" s="15"/>
      <c r="C106" s="16"/>
      <c r="D106" s="31"/>
      <c r="E106" s="31"/>
      <c r="F106" s="31"/>
      <c r="G106" s="18"/>
      <c r="H106" s="19"/>
      <c r="I106" s="19"/>
      <c r="J106" s="19"/>
      <c r="K106" s="19"/>
      <c r="L106" s="19"/>
      <c r="M106" s="19"/>
      <c r="N106" s="19"/>
      <c r="O106" s="13"/>
    </row>
    <row r="107" spans="1:15" ht="12.75">
      <c r="A107" s="61" t="s">
        <v>86</v>
      </c>
      <c r="B107" s="58" t="s">
        <v>49</v>
      </c>
      <c r="C107" s="16">
        <v>1</v>
      </c>
      <c r="D107" s="31"/>
      <c r="E107" s="31"/>
      <c r="F107" s="31"/>
      <c r="G107" s="18">
        <v>1443.8</v>
      </c>
      <c r="H107" s="19">
        <v>930.21699999999998</v>
      </c>
      <c r="I107" s="19">
        <v>1225.5999999999999</v>
      </c>
      <c r="J107" s="19">
        <v>81.16</v>
      </c>
      <c r="K107" s="19"/>
      <c r="L107" s="19">
        <v>766</v>
      </c>
      <c r="M107" s="19">
        <v>780</v>
      </c>
      <c r="N107" s="19">
        <v>780</v>
      </c>
      <c r="O107" s="229"/>
    </row>
    <row r="108" spans="1:15" ht="21">
      <c r="A108" s="62" t="s">
        <v>87</v>
      </c>
      <c r="B108" s="58" t="s">
        <v>49</v>
      </c>
      <c r="C108" s="16">
        <v>1</v>
      </c>
      <c r="D108" s="31"/>
      <c r="E108" s="31"/>
      <c r="F108" s="31"/>
      <c r="G108" s="18"/>
      <c r="H108" s="19"/>
      <c r="I108" s="19"/>
      <c r="J108" s="19"/>
      <c r="K108" s="19"/>
      <c r="L108" s="19"/>
      <c r="M108" s="19"/>
      <c r="N108" s="19"/>
      <c r="O108" s="229"/>
    </row>
    <row r="109" spans="1:15" ht="12.75">
      <c r="A109" s="61" t="s">
        <v>88</v>
      </c>
      <c r="B109" s="58" t="s">
        <v>49</v>
      </c>
      <c r="C109" s="16">
        <v>1</v>
      </c>
      <c r="D109" s="31"/>
      <c r="E109" s="31"/>
      <c r="F109" s="31"/>
      <c r="G109" s="18">
        <v>64.209999999999994</v>
      </c>
      <c r="H109" s="19">
        <v>182.47</v>
      </c>
      <c r="I109" s="19">
        <v>57.89</v>
      </c>
      <c r="J109" s="19">
        <v>99.72</v>
      </c>
      <c r="K109" s="19">
        <v>195</v>
      </c>
      <c r="L109" s="19">
        <v>285</v>
      </c>
      <c r="M109" s="19">
        <v>289</v>
      </c>
      <c r="N109" s="19">
        <v>289</v>
      </c>
      <c r="O109" s="13"/>
    </row>
    <row r="110" spans="1:15" ht="12.75">
      <c r="A110" s="59" t="s">
        <v>89</v>
      </c>
      <c r="B110" s="58" t="s">
        <v>49</v>
      </c>
      <c r="C110" s="16">
        <v>1</v>
      </c>
      <c r="D110" s="31"/>
      <c r="E110" s="31"/>
      <c r="F110" s="31"/>
      <c r="G110" s="18">
        <v>35.17</v>
      </c>
      <c r="H110" s="19">
        <v>4</v>
      </c>
      <c r="I110" s="19">
        <v>95.51</v>
      </c>
      <c r="J110" s="19">
        <v>140.22999999999999</v>
      </c>
      <c r="K110" s="19">
        <v>46</v>
      </c>
      <c r="L110" s="19">
        <v>15</v>
      </c>
      <c r="M110" s="19">
        <v>13</v>
      </c>
      <c r="N110" s="19">
        <v>13</v>
      </c>
      <c r="O110" s="13"/>
    </row>
    <row r="111" spans="1:15" ht="12.75">
      <c r="A111" s="59" t="s">
        <v>90</v>
      </c>
      <c r="B111" s="58" t="s">
        <v>49</v>
      </c>
      <c r="C111" s="16">
        <v>1</v>
      </c>
      <c r="D111" s="31"/>
      <c r="E111" s="31"/>
      <c r="F111" s="31"/>
      <c r="G111" s="18">
        <f>447.39+2359.3</f>
        <v>2806.69</v>
      </c>
      <c r="H111" s="19">
        <v>132.78</v>
      </c>
      <c r="I111" s="19">
        <v>461.87</v>
      </c>
      <c r="J111" s="19">
        <v>1342.1</v>
      </c>
      <c r="K111" s="19">
        <v>1556</v>
      </c>
      <c r="L111" s="19">
        <v>137.69999999999999</v>
      </c>
      <c r="M111" s="19">
        <v>137.69999999999999</v>
      </c>
      <c r="N111" s="19">
        <v>137.69999999999999</v>
      </c>
      <c r="O111" s="13"/>
    </row>
    <row r="112" spans="1:15" ht="12.75">
      <c r="A112" s="59" t="s">
        <v>91</v>
      </c>
      <c r="B112" s="58" t="s">
        <v>49</v>
      </c>
      <c r="C112" s="16">
        <v>1</v>
      </c>
      <c r="D112" s="31"/>
      <c r="E112" s="31"/>
      <c r="F112" s="31"/>
      <c r="G112" s="18"/>
      <c r="H112" s="19">
        <v>414.96</v>
      </c>
      <c r="I112" s="19">
        <v>528.54999999999995</v>
      </c>
      <c r="J112" s="19">
        <v>607.89</v>
      </c>
      <c r="K112" s="19">
        <f>26.064*22.042</f>
        <v>574.50268800000003</v>
      </c>
      <c r="L112" s="19">
        <f>'[1]Объем инвестиций'!$C$6/1000</f>
        <v>509</v>
      </c>
      <c r="M112" s="19">
        <f>'[1]Объем инвестиций'!$C$6/1000</f>
        <v>509</v>
      </c>
      <c r="N112" s="19">
        <f>'[1]Объем инвестиций'!$C$6/1000</f>
        <v>509</v>
      </c>
      <c r="O112" s="13"/>
    </row>
    <row r="113" spans="1:17" ht="14.25">
      <c r="A113" s="24" t="s">
        <v>92</v>
      </c>
      <c r="B113" s="15"/>
      <c r="C113" s="16"/>
      <c r="D113" s="31"/>
      <c r="E113" s="31"/>
      <c r="F113" s="31"/>
      <c r="G113" s="18"/>
      <c r="H113" s="19"/>
      <c r="I113" s="19"/>
      <c r="J113" s="19"/>
      <c r="K113" s="19"/>
      <c r="L113" s="19"/>
      <c r="M113" s="19"/>
      <c r="N113" s="19"/>
      <c r="O113" s="13"/>
    </row>
    <row r="114" spans="1:17" ht="12.75">
      <c r="A114" s="14" t="s">
        <v>93</v>
      </c>
      <c r="B114" s="15" t="s">
        <v>94</v>
      </c>
      <c r="C114" s="16">
        <v>1</v>
      </c>
      <c r="D114" s="31"/>
      <c r="E114" s="31"/>
      <c r="F114" s="31"/>
      <c r="G114" s="18">
        <v>110</v>
      </c>
      <c r="H114" s="19">
        <v>178.2</v>
      </c>
      <c r="I114" s="19">
        <v>152.19999999999999</v>
      </c>
      <c r="J114" s="19">
        <v>184.5</v>
      </c>
      <c r="K114" s="19">
        <v>9720.7000000000007</v>
      </c>
      <c r="L114" s="19">
        <f>K114*1.01</f>
        <v>9817.9070000000011</v>
      </c>
      <c r="M114" s="19">
        <f t="shared" ref="M114:M115" si="11">L114*1.01</f>
        <v>9916.0860700000012</v>
      </c>
      <c r="N114" s="19">
        <f>M114*1.01</f>
        <v>10015.246930700001</v>
      </c>
      <c r="O114" s="13"/>
    </row>
    <row r="115" spans="1:17" ht="12.75">
      <c r="A115" s="14" t="s">
        <v>95</v>
      </c>
      <c r="B115" s="15" t="s">
        <v>94</v>
      </c>
      <c r="C115" s="16">
        <v>1</v>
      </c>
      <c r="D115" s="31"/>
      <c r="E115" s="31"/>
      <c r="F115" s="31"/>
      <c r="G115" s="18">
        <v>438</v>
      </c>
      <c r="H115" s="19">
        <v>972.9</v>
      </c>
      <c r="I115" s="19">
        <v>1669.2</v>
      </c>
      <c r="J115" s="19">
        <v>948.9</v>
      </c>
      <c r="K115" s="19">
        <v>2916.6</v>
      </c>
      <c r="L115" s="19">
        <f>K115*1.01</f>
        <v>2945.7660000000001</v>
      </c>
      <c r="M115" s="19">
        <f t="shared" si="11"/>
        <v>2975.2236600000001</v>
      </c>
      <c r="N115" s="19">
        <f>M115*1.01</f>
        <v>3004.9758965999999</v>
      </c>
      <c r="O115" s="13"/>
    </row>
    <row r="116" spans="1:17" ht="22.5">
      <c r="A116" s="14" t="s">
        <v>96</v>
      </c>
      <c r="B116" s="63" t="s">
        <v>97</v>
      </c>
      <c r="C116" s="16">
        <v>1</v>
      </c>
      <c r="D116" s="31"/>
      <c r="E116" s="31"/>
      <c r="F116" s="31"/>
      <c r="G116" s="18">
        <v>18.04</v>
      </c>
      <c r="H116" s="19">
        <v>20.6</v>
      </c>
      <c r="I116" s="19">
        <v>34.97</v>
      </c>
      <c r="J116" s="19">
        <v>23.9</v>
      </c>
      <c r="K116" s="19">
        <v>22.420999999999999</v>
      </c>
      <c r="L116" s="19">
        <v>20.6</v>
      </c>
      <c r="M116" s="19">
        <v>20.6</v>
      </c>
      <c r="N116" s="19">
        <v>20.6</v>
      </c>
      <c r="O116" s="13"/>
    </row>
    <row r="117" spans="1:17" ht="14.25">
      <c r="A117" s="64" t="s">
        <v>98</v>
      </c>
      <c r="B117" s="15"/>
      <c r="C117" s="16"/>
      <c r="D117" s="31"/>
      <c r="E117" s="31"/>
      <c r="F117" s="31"/>
      <c r="G117" s="18"/>
      <c r="H117" s="19"/>
      <c r="I117" s="19"/>
      <c r="J117" s="19"/>
      <c r="K117" s="19"/>
      <c r="L117" s="19"/>
      <c r="M117" s="19"/>
      <c r="N117" s="19"/>
      <c r="O117" s="13"/>
    </row>
    <row r="118" spans="1:17" ht="12.75">
      <c r="A118" s="65" t="s">
        <v>99</v>
      </c>
      <c r="B118" s="15" t="s">
        <v>94</v>
      </c>
      <c r="C118" s="16"/>
      <c r="D118" s="31"/>
      <c r="E118" s="31"/>
      <c r="F118" s="31"/>
      <c r="G118" s="18">
        <v>597.36099999999999</v>
      </c>
      <c r="H118" s="19">
        <f t="shared" ref="H118:N118" si="12">H119+H134+H139</f>
        <v>758.60540000000003</v>
      </c>
      <c r="I118" s="19">
        <f t="shared" si="12"/>
        <v>805.01209999999992</v>
      </c>
      <c r="J118" s="19">
        <f t="shared" si="12"/>
        <v>734.56050000000005</v>
      </c>
      <c r="K118" s="119">
        <f t="shared" si="12"/>
        <v>660.19010000000014</v>
      </c>
      <c r="L118" s="19">
        <f t="shared" si="12"/>
        <v>664.52500000000009</v>
      </c>
      <c r="M118" s="19">
        <f t="shared" si="12"/>
        <v>686.83999999999992</v>
      </c>
      <c r="N118" s="19">
        <f t="shared" si="12"/>
        <v>686.83999999999992</v>
      </c>
      <c r="O118" s="232"/>
    </row>
    <row r="119" spans="1:17" ht="12.75">
      <c r="A119" s="14" t="s">
        <v>100</v>
      </c>
      <c r="B119" s="15" t="s">
        <v>94</v>
      </c>
      <c r="C119" s="16">
        <v>1</v>
      </c>
      <c r="D119" s="31"/>
      <c r="E119" s="31"/>
      <c r="F119" s="31"/>
      <c r="G119" s="18">
        <v>45.615000000000002</v>
      </c>
      <c r="H119" s="19">
        <f>H120+H121+H127+H133</f>
        <v>43.401000000000003</v>
      </c>
      <c r="I119" s="19">
        <f>I120+I121+I127+I133</f>
        <v>92.16</v>
      </c>
      <c r="J119" s="19">
        <f>J120+J121+J127+J133+J126</f>
        <v>85.5</v>
      </c>
      <c r="K119" s="119">
        <f>K120+K121+K127+K133+K126</f>
        <v>94.725000000000009</v>
      </c>
      <c r="L119" s="19">
        <f>L120+L121+L127+L133+L126</f>
        <v>92.72</v>
      </c>
      <c r="M119" s="66">
        <v>90.52</v>
      </c>
      <c r="N119" s="66">
        <v>90.52</v>
      </c>
      <c r="O119" s="229"/>
      <c r="P119" s="37"/>
      <c r="Q119" s="60"/>
    </row>
    <row r="120" spans="1:17" ht="12.75">
      <c r="A120" s="14" t="s">
        <v>102</v>
      </c>
      <c r="B120" s="15" t="s">
        <v>94</v>
      </c>
      <c r="C120" s="16">
        <v>1</v>
      </c>
      <c r="D120" s="31"/>
      <c r="E120" s="31"/>
      <c r="F120" s="31"/>
      <c r="G120" s="18">
        <v>26.427</v>
      </c>
      <c r="H120" s="19">
        <v>30.425999999999998</v>
      </c>
      <c r="I120" s="19">
        <v>54.1</v>
      </c>
      <c r="J120" s="66">
        <v>49.85</v>
      </c>
      <c r="K120" s="173">
        <v>53.808</v>
      </c>
      <c r="L120" s="66">
        <v>58</v>
      </c>
      <c r="M120" s="66"/>
      <c r="N120" s="66"/>
      <c r="O120" s="13"/>
    </row>
    <row r="121" spans="1:17" ht="12.75">
      <c r="A121" s="14" t="s">
        <v>103</v>
      </c>
      <c r="B121" s="15" t="s">
        <v>94</v>
      </c>
      <c r="C121" s="16">
        <v>1</v>
      </c>
      <c r="D121" s="31"/>
      <c r="E121" s="31"/>
      <c r="F121" s="31"/>
      <c r="G121" s="18">
        <v>7.6130000000000004</v>
      </c>
      <c r="H121" s="19">
        <f>H122+H124</f>
        <v>10.61</v>
      </c>
      <c r="I121" s="19">
        <v>14.65</v>
      </c>
      <c r="J121" s="19">
        <v>14.29</v>
      </c>
      <c r="K121" s="119">
        <f>K122+K124</f>
        <v>14.430200000000001</v>
      </c>
      <c r="L121" s="19">
        <v>12.57</v>
      </c>
      <c r="M121" s="19">
        <f>M122+M124</f>
        <v>14.8</v>
      </c>
      <c r="N121" s="19">
        <f>N122+N124</f>
        <v>14.8</v>
      </c>
      <c r="O121" s="232"/>
    </row>
    <row r="122" spans="1:17" ht="12.75">
      <c r="A122" s="14" t="s">
        <v>104</v>
      </c>
      <c r="B122" s="15" t="s">
        <v>94</v>
      </c>
      <c r="C122" s="16"/>
      <c r="D122" s="31"/>
      <c r="E122" s="31"/>
      <c r="F122" s="31"/>
      <c r="G122" s="18">
        <v>1.7030000000000001</v>
      </c>
      <c r="H122" s="19">
        <v>3.85</v>
      </c>
      <c r="I122" s="19">
        <v>4.17</v>
      </c>
      <c r="J122" s="66">
        <v>5.01</v>
      </c>
      <c r="K122" s="173">
        <v>4.4732000000000003</v>
      </c>
      <c r="L122" s="66">
        <v>4.3</v>
      </c>
      <c r="M122" s="66">
        <v>4.3</v>
      </c>
      <c r="N122" s="66">
        <v>4.3</v>
      </c>
      <c r="O122" s="13"/>
    </row>
    <row r="123" spans="1:17" ht="12.75">
      <c r="A123" s="14" t="s">
        <v>105</v>
      </c>
      <c r="B123" s="15" t="s">
        <v>94</v>
      </c>
      <c r="C123" s="16">
        <v>1</v>
      </c>
      <c r="D123" s="31"/>
      <c r="E123" s="31"/>
      <c r="F123" s="31"/>
      <c r="G123" s="18">
        <v>1.01</v>
      </c>
      <c r="H123" s="19"/>
      <c r="I123" s="19"/>
      <c r="J123" s="66"/>
      <c r="K123" s="173"/>
      <c r="L123" s="66"/>
      <c r="M123" s="66"/>
      <c r="N123" s="66"/>
      <c r="O123" s="13"/>
    </row>
    <row r="124" spans="1:17" ht="12.75">
      <c r="A124" s="14" t="s">
        <v>106</v>
      </c>
      <c r="B124" s="15" t="s">
        <v>94</v>
      </c>
      <c r="C124" s="16"/>
      <c r="D124" s="31"/>
      <c r="E124" s="31"/>
      <c r="F124" s="31"/>
      <c r="G124" s="18">
        <v>4.9000000000000004</v>
      </c>
      <c r="H124" s="19">
        <v>6.76</v>
      </c>
      <c r="I124" s="19">
        <v>10.48</v>
      </c>
      <c r="J124" s="66">
        <v>9.2799999999999994</v>
      </c>
      <c r="K124" s="173">
        <v>9.9570000000000007</v>
      </c>
      <c r="L124" s="66">
        <v>8.27</v>
      </c>
      <c r="M124" s="66">
        <v>10.5</v>
      </c>
      <c r="N124" s="66">
        <v>10.5</v>
      </c>
      <c r="O124" s="13"/>
    </row>
    <row r="125" spans="1:17" ht="21">
      <c r="A125" s="14" t="s">
        <v>107</v>
      </c>
      <c r="B125" s="15" t="s">
        <v>94</v>
      </c>
      <c r="C125" s="16">
        <v>1</v>
      </c>
      <c r="D125" s="31"/>
      <c r="E125" s="31"/>
      <c r="F125" s="31"/>
      <c r="G125" s="18"/>
      <c r="H125" s="19"/>
      <c r="I125" s="19"/>
      <c r="J125" s="66"/>
      <c r="K125" s="173"/>
      <c r="L125" s="66"/>
      <c r="M125" s="66"/>
      <c r="N125" s="66"/>
      <c r="O125" s="13"/>
    </row>
    <row r="126" spans="1:17" ht="21">
      <c r="A126" s="14" t="s">
        <v>108</v>
      </c>
      <c r="B126" s="15" t="s">
        <v>94</v>
      </c>
      <c r="C126" s="16">
        <v>1</v>
      </c>
      <c r="D126" s="31"/>
      <c r="E126" s="31"/>
      <c r="F126" s="31"/>
      <c r="G126" s="18"/>
      <c r="H126" s="19"/>
      <c r="I126" s="19">
        <v>19</v>
      </c>
      <c r="J126" s="66">
        <v>15.56</v>
      </c>
      <c r="K126" s="173">
        <v>13.7812</v>
      </c>
      <c r="L126" s="66">
        <v>10.68</v>
      </c>
      <c r="M126" s="66">
        <v>25.3</v>
      </c>
      <c r="N126" s="66">
        <v>25.3</v>
      </c>
      <c r="O126" s="13"/>
    </row>
    <row r="127" spans="1:17" ht="12.75">
      <c r="A127" s="14" t="s">
        <v>109</v>
      </c>
      <c r="B127" s="15" t="s">
        <v>94</v>
      </c>
      <c r="C127" s="16">
        <v>1</v>
      </c>
      <c r="D127" s="31"/>
      <c r="E127" s="31"/>
      <c r="F127" s="31"/>
      <c r="G127" s="18">
        <v>7.032</v>
      </c>
      <c r="H127" s="19">
        <f>H128+H130</f>
        <v>1.7430000000000001</v>
      </c>
      <c r="I127" s="19">
        <f>I128+I130</f>
        <v>2.3199999999999998</v>
      </c>
      <c r="J127" s="19">
        <f>J128+J130</f>
        <v>3.36</v>
      </c>
      <c r="K127" s="119">
        <f>K128+K129+K130+K131</f>
        <v>11.018999999999998</v>
      </c>
      <c r="L127" s="19">
        <v>9.32</v>
      </c>
      <c r="M127" s="66">
        <v>3.5</v>
      </c>
      <c r="N127" s="66">
        <v>3.5</v>
      </c>
      <c r="O127" s="13"/>
    </row>
    <row r="128" spans="1:17" ht="21">
      <c r="A128" s="14" t="s">
        <v>110</v>
      </c>
      <c r="B128" s="15" t="s">
        <v>94</v>
      </c>
      <c r="C128" s="16">
        <v>1</v>
      </c>
      <c r="D128" s="31"/>
      <c r="E128" s="31"/>
      <c r="F128" s="31"/>
      <c r="G128" s="18">
        <v>1.6759999999999999</v>
      </c>
      <c r="H128" s="19">
        <v>1.4470000000000001</v>
      </c>
      <c r="I128" s="19">
        <v>1.99</v>
      </c>
      <c r="J128" s="66">
        <v>2.88</v>
      </c>
      <c r="K128" s="173">
        <v>2.3681999999999999</v>
      </c>
      <c r="L128" s="66">
        <v>2.29</v>
      </c>
      <c r="M128" s="66"/>
      <c r="N128" s="66"/>
      <c r="O128" s="13"/>
    </row>
    <row r="129" spans="1:16" ht="21">
      <c r="A129" s="14" t="s">
        <v>111</v>
      </c>
      <c r="B129" s="15" t="s">
        <v>94</v>
      </c>
      <c r="C129" s="16">
        <v>1</v>
      </c>
      <c r="D129" s="31"/>
      <c r="E129" s="31"/>
      <c r="F129" s="31"/>
      <c r="G129" s="18">
        <v>4.2990000000000004</v>
      </c>
      <c r="H129" s="19"/>
      <c r="I129" s="19"/>
      <c r="J129" s="66"/>
      <c r="K129" s="173">
        <v>8.1626999999999992</v>
      </c>
      <c r="L129" s="66"/>
      <c r="M129" s="66"/>
      <c r="N129" s="66"/>
      <c r="O129" s="13"/>
    </row>
    <row r="130" spans="1:16" ht="12.75">
      <c r="A130" s="14" t="s">
        <v>112</v>
      </c>
      <c r="B130" s="15" t="s">
        <v>94</v>
      </c>
      <c r="C130" s="16"/>
      <c r="D130" s="31"/>
      <c r="E130" s="31"/>
      <c r="F130" s="31"/>
      <c r="G130" s="18">
        <v>1.0569999999999999</v>
      </c>
      <c r="H130" s="19">
        <v>0.29599999999999999</v>
      </c>
      <c r="I130" s="19">
        <v>0.33</v>
      </c>
      <c r="J130" s="66">
        <v>0.48</v>
      </c>
      <c r="K130" s="173">
        <v>0.46899999999999997</v>
      </c>
      <c r="L130" s="66">
        <v>0.44</v>
      </c>
      <c r="M130" s="66">
        <v>0.2</v>
      </c>
      <c r="N130" s="66">
        <v>0.2</v>
      </c>
      <c r="O130" s="13"/>
      <c r="P130" s="60"/>
    </row>
    <row r="131" spans="1:16" ht="21">
      <c r="A131" s="14" t="s">
        <v>113</v>
      </c>
      <c r="B131" s="15" t="s">
        <v>94</v>
      </c>
      <c r="C131" s="16">
        <v>1</v>
      </c>
      <c r="D131" s="31"/>
      <c r="E131" s="31"/>
      <c r="F131" s="31"/>
      <c r="G131" s="18">
        <v>0.124</v>
      </c>
      <c r="H131" s="19"/>
      <c r="I131" s="19"/>
      <c r="J131" s="66"/>
      <c r="K131" s="173">
        <v>1.9099999999999999E-2</v>
      </c>
      <c r="L131" s="66"/>
      <c r="M131" s="66"/>
      <c r="N131" s="66"/>
      <c r="O131" s="13"/>
    </row>
    <row r="132" spans="1:16" ht="12.75">
      <c r="A132" s="14" t="s">
        <v>114</v>
      </c>
      <c r="B132" s="15" t="s">
        <v>94</v>
      </c>
      <c r="C132" s="16">
        <v>1</v>
      </c>
      <c r="D132" s="31"/>
      <c r="E132" s="31"/>
      <c r="F132" s="31"/>
      <c r="G132" s="18"/>
      <c r="H132" s="19"/>
      <c r="I132" s="19"/>
      <c r="J132" s="66"/>
      <c r="K132" s="173"/>
      <c r="L132" s="66"/>
      <c r="M132" s="66"/>
      <c r="N132" s="66"/>
      <c r="O132" s="13"/>
    </row>
    <row r="133" spans="1:16" ht="12.75">
      <c r="A133" s="14" t="s">
        <v>115</v>
      </c>
      <c r="B133" s="15" t="s">
        <v>94</v>
      </c>
      <c r="C133" s="16">
        <v>1</v>
      </c>
      <c r="D133" s="31"/>
      <c r="E133" s="31"/>
      <c r="F133" s="31"/>
      <c r="G133" s="18">
        <v>4.4189999999999996</v>
      </c>
      <c r="H133" s="19">
        <v>0.622</v>
      </c>
      <c r="I133" s="19">
        <v>21.09</v>
      </c>
      <c r="J133" s="66">
        <f>18-J126</f>
        <v>2.4399999999999995</v>
      </c>
      <c r="K133" s="173">
        <v>1.6866000000000001</v>
      </c>
      <c r="L133" s="66">
        <v>2.15</v>
      </c>
      <c r="M133" s="66">
        <f>90.22-78.17</f>
        <v>12.049999999999997</v>
      </c>
      <c r="N133" s="66">
        <f>90.22-78.17</f>
        <v>12.049999999999997</v>
      </c>
      <c r="O133" s="232"/>
    </row>
    <row r="134" spans="1:16" ht="12.75">
      <c r="A134" s="65" t="s">
        <v>116</v>
      </c>
      <c r="B134" s="15" t="s">
        <v>94</v>
      </c>
      <c r="C134" s="16">
        <v>1</v>
      </c>
      <c r="D134" s="31"/>
      <c r="E134" s="31"/>
      <c r="F134" s="31"/>
      <c r="G134" s="18">
        <v>8.8320000000000007</v>
      </c>
      <c r="H134" s="19">
        <f>H135+H137+H138</f>
        <v>21.402699999999999</v>
      </c>
      <c r="I134" s="19">
        <f>I135+I137+I138</f>
        <v>18.6921</v>
      </c>
      <c r="J134" s="66">
        <f>J135+J138</f>
        <v>15.665500000000002</v>
      </c>
      <c r="K134" s="173">
        <f>K135+K137+K138</f>
        <v>16.9895</v>
      </c>
      <c r="L134" s="19">
        <f>L135+L138</f>
        <v>11.385</v>
      </c>
      <c r="M134" s="66"/>
      <c r="N134" s="66"/>
      <c r="O134" s="232"/>
      <c r="P134" s="37"/>
    </row>
    <row r="135" spans="1:16" ht="21">
      <c r="A135" s="14" t="s">
        <v>117</v>
      </c>
      <c r="B135" s="15" t="s">
        <v>94</v>
      </c>
      <c r="C135" s="16">
        <v>1</v>
      </c>
      <c r="D135" s="31"/>
      <c r="E135" s="31"/>
      <c r="F135" s="31"/>
      <c r="G135" s="18">
        <v>2.8450000000000002</v>
      </c>
      <c r="H135" s="19">
        <v>6.4660000000000002</v>
      </c>
      <c r="I135" s="19">
        <v>7.16</v>
      </c>
      <c r="J135" s="66">
        <v>5.79</v>
      </c>
      <c r="K135" s="173">
        <v>4.5770999999999997</v>
      </c>
      <c r="L135" s="66">
        <v>4.49</v>
      </c>
      <c r="M135" s="66"/>
      <c r="N135" s="66"/>
      <c r="O135" s="13"/>
    </row>
    <row r="136" spans="1:16" ht="21">
      <c r="A136" s="14" t="s">
        <v>118</v>
      </c>
      <c r="B136" s="15" t="s">
        <v>94</v>
      </c>
      <c r="C136" s="16">
        <v>1</v>
      </c>
      <c r="D136" s="31"/>
      <c r="E136" s="31"/>
      <c r="F136" s="31"/>
      <c r="G136" s="18">
        <v>2.8450000000000002</v>
      </c>
      <c r="H136" s="19">
        <v>6.4660000000000002</v>
      </c>
      <c r="I136" s="19">
        <v>7.16</v>
      </c>
      <c r="J136" s="66">
        <v>5.79</v>
      </c>
      <c r="K136" s="173">
        <v>4.1000000000000002E-2</v>
      </c>
      <c r="L136" s="66">
        <v>4.49</v>
      </c>
      <c r="M136" s="66"/>
      <c r="N136" s="66"/>
      <c r="O136" s="13"/>
    </row>
    <row r="137" spans="1:16" ht="21">
      <c r="A137" s="14" t="s">
        <v>119</v>
      </c>
      <c r="B137" s="15" t="s">
        <v>94</v>
      </c>
      <c r="C137" s="16">
        <v>1</v>
      </c>
      <c r="D137" s="31"/>
      <c r="E137" s="31"/>
      <c r="F137" s="31"/>
      <c r="G137" s="18">
        <v>0.29599999999999999</v>
      </c>
      <c r="H137" s="19">
        <f>9.7/1000</f>
        <v>9.6999999999999986E-3</v>
      </c>
      <c r="I137" s="19">
        <v>2.0999999999999999E-3</v>
      </c>
      <c r="J137" s="66"/>
      <c r="K137" s="173">
        <v>0.31369999999999998</v>
      </c>
      <c r="L137" s="66"/>
      <c r="M137" s="66"/>
      <c r="N137" s="66"/>
      <c r="O137" s="13"/>
    </row>
    <row r="138" spans="1:16" ht="12.75">
      <c r="A138" s="14" t="s">
        <v>120</v>
      </c>
      <c r="B138" s="15" t="s">
        <v>94</v>
      </c>
      <c r="C138" s="16">
        <v>1</v>
      </c>
      <c r="D138" s="31"/>
      <c r="E138" s="31"/>
      <c r="F138" s="31"/>
      <c r="G138" s="18">
        <v>50.691000000000003</v>
      </c>
      <c r="H138" s="19">
        <v>14.927</v>
      </c>
      <c r="I138" s="19">
        <v>11.53</v>
      </c>
      <c r="J138" s="66">
        <v>9.8755000000000006</v>
      </c>
      <c r="K138" s="173">
        <v>12.098699999999999</v>
      </c>
      <c r="L138" s="19">
        <v>6.8949999999999996</v>
      </c>
      <c r="M138" s="66"/>
      <c r="N138" s="66"/>
      <c r="O138" s="13"/>
    </row>
    <row r="139" spans="1:16" ht="12.75">
      <c r="A139" s="65" t="s">
        <v>121</v>
      </c>
      <c r="B139" s="15" t="s">
        <v>94</v>
      </c>
      <c r="C139" s="16">
        <v>1</v>
      </c>
      <c r="D139" s="31"/>
      <c r="E139" s="31"/>
      <c r="F139" s="31"/>
      <c r="G139" s="18">
        <v>542.91399999999999</v>
      </c>
      <c r="H139" s="19">
        <f>H140+H141+H142+H143+H144</f>
        <v>693.80169999999998</v>
      </c>
      <c r="I139" s="19">
        <f>I140+I141+I142+I143+I144</f>
        <v>694.16</v>
      </c>
      <c r="J139" s="19">
        <f>J140+J141+J142+J143+J144</f>
        <v>633.39499999999998</v>
      </c>
      <c r="K139" s="119">
        <f>K140+K141+K142+K143+K144+K145</f>
        <v>548.4756000000001</v>
      </c>
      <c r="L139" s="19">
        <f>L140+L141+L142+L143+L144</f>
        <v>560.42000000000007</v>
      </c>
      <c r="M139" s="19">
        <f>M140+M141+M143+M144+M142</f>
        <v>596.31999999999994</v>
      </c>
      <c r="N139" s="19">
        <f>N140+N141+N143+N144+N142</f>
        <v>596.31999999999994</v>
      </c>
      <c r="O139" s="232"/>
      <c r="P139" s="60"/>
    </row>
    <row r="140" spans="1:16" ht="31.5" customHeight="1">
      <c r="A140" s="14" t="s">
        <v>122</v>
      </c>
      <c r="B140" s="15" t="s">
        <v>94</v>
      </c>
      <c r="C140" s="16">
        <v>1</v>
      </c>
      <c r="D140" s="31"/>
      <c r="E140" s="31"/>
      <c r="F140" s="31"/>
      <c r="G140" s="18">
        <v>154.71600000000001</v>
      </c>
      <c r="H140" s="19">
        <v>133.976</v>
      </c>
      <c r="I140" s="19">
        <v>79.61</v>
      </c>
      <c r="J140" s="66">
        <v>94.53</v>
      </c>
      <c r="K140" s="173">
        <v>78.918999999999997</v>
      </c>
      <c r="L140" s="66">
        <v>94.7</v>
      </c>
      <c r="M140" s="66">
        <v>101.48699999999999</v>
      </c>
      <c r="N140" s="66">
        <v>101.48699999999999</v>
      </c>
      <c r="O140" s="13"/>
    </row>
    <row r="141" spans="1:16" ht="21">
      <c r="A141" s="14" t="s">
        <v>123</v>
      </c>
      <c r="B141" s="15" t="s">
        <v>94</v>
      </c>
      <c r="C141" s="16">
        <v>1</v>
      </c>
      <c r="D141" s="31"/>
      <c r="E141" s="31"/>
      <c r="F141" s="31"/>
      <c r="G141" s="18">
        <v>305.596</v>
      </c>
      <c r="H141" s="19">
        <v>452.17700000000002</v>
      </c>
      <c r="I141" s="19">
        <v>523.63</v>
      </c>
      <c r="J141" s="66">
        <v>452.41</v>
      </c>
      <c r="K141" s="173">
        <v>435.57319999999999</v>
      </c>
      <c r="L141" s="66">
        <v>443.52</v>
      </c>
      <c r="M141" s="66">
        <v>483.37</v>
      </c>
      <c r="N141" s="66">
        <v>483.37</v>
      </c>
      <c r="O141" s="13"/>
    </row>
    <row r="142" spans="1:16" ht="31.5">
      <c r="A142" s="14" t="s">
        <v>124</v>
      </c>
      <c r="B142" s="15" t="s">
        <v>94</v>
      </c>
      <c r="C142" s="16">
        <v>1</v>
      </c>
      <c r="D142" s="31"/>
      <c r="E142" s="31"/>
      <c r="F142" s="31"/>
      <c r="G142" s="18">
        <v>55.786999999999999</v>
      </c>
      <c r="H142" s="19">
        <v>92.631</v>
      </c>
      <c r="I142" s="19">
        <v>26.17</v>
      </c>
      <c r="J142" s="66">
        <v>35</v>
      </c>
      <c r="K142" s="173"/>
      <c r="L142" s="66"/>
      <c r="M142" s="66"/>
      <c r="N142" s="66"/>
      <c r="O142" s="13"/>
    </row>
    <row r="143" spans="1:16" ht="12.75">
      <c r="A143" s="14" t="s">
        <v>125</v>
      </c>
      <c r="B143" s="15" t="s">
        <v>94</v>
      </c>
      <c r="C143" s="16">
        <v>1</v>
      </c>
      <c r="D143" s="31"/>
      <c r="E143" s="31"/>
      <c r="F143" s="31"/>
      <c r="G143" s="18">
        <v>17.294</v>
      </c>
      <c r="H143" s="19">
        <v>15.081</v>
      </c>
      <c r="I143" s="19">
        <v>69.3</v>
      </c>
      <c r="J143" s="66">
        <v>53.424999999999997</v>
      </c>
      <c r="K143" s="173">
        <v>28.1997</v>
      </c>
      <c r="L143" s="66">
        <v>22.2</v>
      </c>
      <c r="M143" s="66">
        <v>11.462999999999999</v>
      </c>
      <c r="N143" s="66">
        <v>11.462999999999999</v>
      </c>
      <c r="O143" s="13"/>
    </row>
    <row r="144" spans="1:16" ht="12.75">
      <c r="A144" s="14" t="s">
        <v>126</v>
      </c>
      <c r="B144" s="15" t="s">
        <v>94</v>
      </c>
      <c r="C144" s="16"/>
      <c r="D144" s="31"/>
      <c r="E144" s="31"/>
      <c r="F144" s="31"/>
      <c r="G144" s="18">
        <v>549</v>
      </c>
      <c r="H144" s="19">
        <f>-63.3/1000</f>
        <v>-6.3299999999999995E-2</v>
      </c>
      <c r="I144" s="19">
        <v>-4.55</v>
      </c>
      <c r="J144" s="66">
        <v>-1.97</v>
      </c>
      <c r="K144" s="173">
        <v>10.042</v>
      </c>
      <c r="L144" s="66"/>
      <c r="M144" s="66"/>
      <c r="N144" s="66"/>
      <c r="O144" s="13"/>
    </row>
    <row r="145" spans="1:17" ht="12.75">
      <c r="A145" s="14" t="s">
        <v>228</v>
      </c>
      <c r="B145" s="15"/>
      <c r="C145" s="16"/>
      <c r="D145" s="31"/>
      <c r="E145" s="31"/>
      <c r="F145" s="31"/>
      <c r="G145" s="18"/>
      <c r="H145" s="19"/>
      <c r="I145" s="19"/>
      <c r="J145" s="66"/>
      <c r="K145" s="173">
        <v>-4.2583000000000002</v>
      </c>
      <c r="L145" s="66"/>
      <c r="M145" s="66"/>
      <c r="N145" s="66"/>
      <c r="O145" s="13"/>
    </row>
    <row r="146" spans="1:17" ht="12.75">
      <c r="A146" s="65" t="s">
        <v>127</v>
      </c>
      <c r="B146" s="15" t="s">
        <v>94</v>
      </c>
      <c r="C146" s="16">
        <v>1</v>
      </c>
      <c r="D146" s="31"/>
      <c r="E146" s="31"/>
      <c r="F146" s="31"/>
      <c r="G146" s="18">
        <v>584.072</v>
      </c>
      <c r="H146" s="19">
        <f>H147+H151+H156+H158+H159+H160+H161+H167</f>
        <v>702.48799999999994</v>
      </c>
      <c r="I146" s="19">
        <f>I147+I151+I156+I158+I159+I160+I161+I167</f>
        <v>862.27700000000004</v>
      </c>
      <c r="J146" s="19">
        <f>J147+J151+J156+J158+J159+J160+J161+J167+J166</f>
        <v>783.404</v>
      </c>
      <c r="K146" s="119">
        <f>K147+K151+K156+K158+K159+K160+K161+K167</f>
        <v>667.39819999999997</v>
      </c>
      <c r="L146" s="19">
        <v>670.23</v>
      </c>
      <c r="M146" s="66">
        <f>M147+M151+M156+M158+M159+M160+M161+M167+M166</f>
        <v>686.84300000000007</v>
      </c>
      <c r="N146" s="66">
        <f>N147+N151+N156+N158+N159+N160+N161+N167+N166</f>
        <v>686.84300000000007</v>
      </c>
      <c r="O146" s="232"/>
      <c r="P146" s="60"/>
      <c r="Q146" s="60"/>
    </row>
    <row r="147" spans="1:17" ht="12.75">
      <c r="A147" s="14" t="s">
        <v>128</v>
      </c>
      <c r="B147" s="15" t="s">
        <v>94</v>
      </c>
      <c r="C147" s="16"/>
      <c r="D147" s="31"/>
      <c r="E147" s="31"/>
      <c r="F147" s="31"/>
      <c r="G147" s="18">
        <v>54.616</v>
      </c>
      <c r="H147" s="19">
        <v>66.628</v>
      </c>
      <c r="I147" s="19">
        <v>76.239999999999995</v>
      </c>
      <c r="J147" s="19">
        <v>80.739999999999995</v>
      </c>
      <c r="K147" s="119">
        <v>73.954400000000007</v>
      </c>
      <c r="L147" s="19">
        <v>71.53</v>
      </c>
      <c r="M147" s="66">
        <v>28.81</v>
      </c>
      <c r="N147" s="66">
        <v>28.81</v>
      </c>
      <c r="O147" s="232"/>
      <c r="P147" s="60"/>
      <c r="Q147" s="60"/>
    </row>
    <row r="148" spans="1:17" ht="21">
      <c r="A148" s="14" t="s">
        <v>129</v>
      </c>
      <c r="B148" s="15" t="s">
        <v>94</v>
      </c>
      <c r="C148" s="16">
        <v>1</v>
      </c>
      <c r="D148" s="31"/>
      <c r="E148" s="31"/>
      <c r="F148" s="31"/>
      <c r="G148" s="18">
        <v>1.446</v>
      </c>
      <c r="H148" s="19">
        <v>1.7709999999999999</v>
      </c>
      <c r="I148" s="19">
        <v>1.65</v>
      </c>
      <c r="J148" s="19">
        <v>1.3492999999999999</v>
      </c>
      <c r="K148" s="119">
        <v>0.89859999999999995</v>
      </c>
      <c r="L148" s="19">
        <v>0.68</v>
      </c>
      <c r="M148" s="66">
        <v>1.7490000000000001</v>
      </c>
      <c r="N148" s="66">
        <v>1.7490000000000001</v>
      </c>
      <c r="O148" s="229"/>
      <c r="P148" s="60"/>
    </row>
    <row r="149" spans="1:17" ht="12.75">
      <c r="A149" s="14" t="s">
        <v>130</v>
      </c>
      <c r="B149" s="15" t="s">
        <v>94</v>
      </c>
      <c r="C149" s="16">
        <v>1</v>
      </c>
      <c r="D149" s="31"/>
      <c r="E149" s="31"/>
      <c r="F149" s="31"/>
      <c r="G149" s="18">
        <v>34.590000000000003</v>
      </c>
      <c r="H149" s="19">
        <v>41.92</v>
      </c>
      <c r="I149" s="19">
        <v>48.17</v>
      </c>
      <c r="J149" s="19">
        <v>42.49</v>
      </c>
      <c r="K149" s="119">
        <v>36.111499999999999</v>
      </c>
      <c r="L149" s="19">
        <v>41.1</v>
      </c>
      <c r="M149" s="66">
        <v>1.24</v>
      </c>
      <c r="N149" s="66">
        <v>1.24</v>
      </c>
      <c r="O149" s="232"/>
    </row>
    <row r="150" spans="1:17" ht="21">
      <c r="A150" s="14" t="s">
        <v>131</v>
      </c>
      <c r="B150" s="15" t="s">
        <v>94</v>
      </c>
      <c r="C150" s="16"/>
      <c r="D150" s="31"/>
      <c r="E150" s="31"/>
      <c r="F150" s="31"/>
      <c r="G150" s="18">
        <v>0</v>
      </c>
      <c r="H150" s="19"/>
      <c r="I150" s="19"/>
      <c r="J150" s="19"/>
      <c r="K150" s="119"/>
      <c r="L150" s="19"/>
      <c r="M150" s="66"/>
      <c r="N150" s="66"/>
      <c r="O150" s="13"/>
    </row>
    <row r="151" spans="1:17" ht="12.75">
      <c r="A151" s="14" t="s">
        <v>132</v>
      </c>
      <c r="B151" s="15" t="s">
        <v>94</v>
      </c>
      <c r="C151" s="16">
        <v>1</v>
      </c>
      <c r="D151" s="31"/>
      <c r="E151" s="31"/>
      <c r="F151" s="31"/>
      <c r="G151" s="18">
        <v>10.532999999999999</v>
      </c>
      <c r="H151" s="19">
        <f>H153+H155</f>
        <v>10.872</v>
      </c>
      <c r="I151" s="19">
        <v>14.65</v>
      </c>
      <c r="J151" s="19">
        <v>41.39</v>
      </c>
      <c r="K151" s="119">
        <f>K152+K153+K154+K155</f>
        <v>17.379100000000001</v>
      </c>
      <c r="L151" s="19">
        <v>16.489999999999998</v>
      </c>
      <c r="M151" s="66">
        <f>27.799+M155</f>
        <v>33.04</v>
      </c>
      <c r="N151" s="66">
        <f>27.799+N155</f>
        <v>33.04</v>
      </c>
      <c r="O151" s="13"/>
    </row>
    <row r="152" spans="1:17" ht="12.75">
      <c r="A152" s="14" t="s">
        <v>133</v>
      </c>
      <c r="B152" s="15" t="s">
        <v>94</v>
      </c>
      <c r="C152" s="16">
        <v>1</v>
      </c>
      <c r="D152" s="31"/>
      <c r="E152" s="31"/>
      <c r="F152" s="31"/>
      <c r="G152" s="18"/>
      <c r="H152" s="19"/>
      <c r="I152" s="19"/>
      <c r="J152" s="19"/>
      <c r="K152" s="119"/>
      <c r="L152" s="19"/>
      <c r="M152" s="66"/>
      <c r="N152" s="66"/>
      <c r="O152" s="13"/>
    </row>
    <row r="153" spans="1:17" ht="12.75">
      <c r="A153" s="14" t="s">
        <v>134</v>
      </c>
      <c r="B153" s="15" t="s">
        <v>94</v>
      </c>
      <c r="C153" s="16">
        <v>1</v>
      </c>
      <c r="D153" s="31"/>
      <c r="E153" s="31"/>
      <c r="F153" s="31"/>
      <c r="G153" s="18">
        <v>10.532999999999999</v>
      </c>
      <c r="H153" s="19">
        <v>3.8370000000000002</v>
      </c>
      <c r="I153" s="19">
        <v>2.6739999999999999</v>
      </c>
      <c r="J153" s="19">
        <v>2.4500000000000002</v>
      </c>
      <c r="K153" s="119">
        <v>2.7629999999999999</v>
      </c>
      <c r="L153" s="19">
        <v>2.4700000000000002</v>
      </c>
      <c r="M153" s="66">
        <v>2.4790000000000001</v>
      </c>
      <c r="N153" s="66">
        <v>2.4790000000000001</v>
      </c>
      <c r="O153" s="13"/>
    </row>
    <row r="154" spans="1:17" ht="12.75">
      <c r="A154" s="14" t="s">
        <v>135</v>
      </c>
      <c r="B154" s="15" t="s">
        <v>94</v>
      </c>
      <c r="C154" s="16">
        <v>1</v>
      </c>
      <c r="D154" s="31"/>
      <c r="E154" s="31"/>
      <c r="F154" s="31"/>
      <c r="G154" s="18"/>
      <c r="H154" s="19"/>
      <c r="I154" s="19"/>
      <c r="J154" s="19"/>
      <c r="K154" s="119"/>
      <c r="L154" s="19"/>
      <c r="M154" s="66">
        <v>25.32</v>
      </c>
      <c r="N154" s="66">
        <v>25.32</v>
      </c>
      <c r="O154" s="13"/>
    </row>
    <row r="155" spans="1:17" ht="12.75">
      <c r="A155" s="14" t="s">
        <v>136</v>
      </c>
      <c r="B155" s="15" t="s">
        <v>94</v>
      </c>
      <c r="C155" s="16">
        <v>1</v>
      </c>
      <c r="D155" s="31"/>
      <c r="E155" s="31"/>
      <c r="F155" s="31"/>
      <c r="G155" s="18"/>
      <c r="H155" s="19">
        <v>7.0350000000000001</v>
      </c>
      <c r="I155" s="19">
        <v>11.975</v>
      </c>
      <c r="J155" s="19">
        <v>38.94</v>
      </c>
      <c r="K155" s="119">
        <v>14.616099999999999</v>
      </c>
      <c r="L155" s="19">
        <v>15.06</v>
      </c>
      <c r="M155" s="66">
        <f>1.56+3.681</f>
        <v>5.2409999999999997</v>
      </c>
      <c r="N155" s="66">
        <f>1.56+3.681</f>
        <v>5.2409999999999997</v>
      </c>
      <c r="O155" s="13"/>
    </row>
    <row r="156" spans="1:17" ht="12.75">
      <c r="A156" s="14" t="s">
        <v>137</v>
      </c>
      <c r="B156" s="15" t="s">
        <v>94</v>
      </c>
      <c r="C156" s="16">
        <v>1</v>
      </c>
      <c r="D156" s="31"/>
      <c r="E156" s="31"/>
      <c r="F156" s="31"/>
      <c r="G156" s="18">
        <v>18.646999999999998</v>
      </c>
      <c r="H156" s="19">
        <v>32.148000000000003</v>
      </c>
      <c r="I156" s="19">
        <v>26.481000000000002</v>
      </c>
      <c r="J156" s="19">
        <v>16.829999999999998</v>
      </c>
      <c r="K156" s="119">
        <v>17.293900000000001</v>
      </c>
      <c r="L156" s="19">
        <v>7.48</v>
      </c>
      <c r="M156" s="66">
        <v>5.17</v>
      </c>
      <c r="N156" s="66">
        <v>5.17</v>
      </c>
      <c r="O156" s="232"/>
    </row>
    <row r="157" spans="1:17" ht="12.75">
      <c r="A157" s="14" t="s">
        <v>138</v>
      </c>
      <c r="B157" s="15" t="s">
        <v>94</v>
      </c>
      <c r="C157" s="16">
        <v>1</v>
      </c>
      <c r="D157" s="31"/>
      <c r="E157" s="31"/>
      <c r="F157" s="31"/>
      <c r="G157" s="18"/>
      <c r="H157" s="19"/>
      <c r="I157" s="19"/>
      <c r="J157" s="19"/>
      <c r="K157" s="119"/>
      <c r="L157" s="19"/>
      <c r="M157" s="66"/>
      <c r="N157" s="66"/>
      <c r="O157" s="13"/>
    </row>
    <row r="158" spans="1:17" ht="12.75">
      <c r="A158" s="14" t="s">
        <v>139</v>
      </c>
      <c r="B158" s="15" t="s">
        <v>94</v>
      </c>
      <c r="C158" s="16">
        <v>1</v>
      </c>
      <c r="D158" s="31"/>
      <c r="E158" s="31"/>
      <c r="F158" s="31"/>
      <c r="G158" s="18">
        <v>368.57799999999997</v>
      </c>
      <c r="H158" s="19">
        <v>519.75699999999995</v>
      </c>
      <c r="I158" s="19">
        <v>631.20000000000005</v>
      </c>
      <c r="J158" s="19">
        <v>520.28</v>
      </c>
      <c r="K158" s="119">
        <v>501.36630000000002</v>
      </c>
      <c r="L158" s="19">
        <v>519.97</v>
      </c>
      <c r="M158" s="66">
        <v>547.63</v>
      </c>
      <c r="N158" s="66">
        <v>547.63</v>
      </c>
      <c r="O158" s="232"/>
    </row>
    <row r="159" spans="1:17" ht="21">
      <c r="A159" s="14" t="s">
        <v>140</v>
      </c>
      <c r="B159" s="15" t="s">
        <v>94</v>
      </c>
      <c r="C159" s="16">
        <v>1</v>
      </c>
      <c r="D159" s="31"/>
      <c r="E159" s="31"/>
      <c r="F159" s="31"/>
      <c r="G159" s="18">
        <v>8.9909999999999997</v>
      </c>
      <c r="H159" s="19">
        <v>12.006</v>
      </c>
      <c r="I159" s="19">
        <v>14.66</v>
      </c>
      <c r="J159" s="19">
        <v>18.68</v>
      </c>
      <c r="K159" s="119">
        <v>22.4054</v>
      </c>
      <c r="L159" s="19">
        <v>18.09</v>
      </c>
      <c r="M159" s="66">
        <v>14.35</v>
      </c>
      <c r="N159" s="66">
        <v>14.35</v>
      </c>
      <c r="O159" s="13"/>
    </row>
    <row r="160" spans="1:17" ht="12.75">
      <c r="A160" s="14" t="s">
        <v>141</v>
      </c>
      <c r="B160" s="15" t="s">
        <v>94</v>
      </c>
      <c r="C160" s="16">
        <v>1</v>
      </c>
      <c r="D160" s="31"/>
      <c r="E160" s="31"/>
      <c r="F160" s="31"/>
      <c r="G160" s="18">
        <v>61.433999999999997</v>
      </c>
      <c r="H160" s="19">
        <v>7.7329999999999997</v>
      </c>
      <c r="I160" s="19">
        <v>35.624000000000002</v>
      </c>
      <c r="J160" s="19">
        <v>36.6</v>
      </c>
      <c r="K160" s="119">
        <v>19.287500000000001</v>
      </c>
      <c r="L160" s="19">
        <v>10.72</v>
      </c>
      <c r="M160" s="66">
        <v>2.2200000000000002</v>
      </c>
      <c r="N160" s="66">
        <v>2.2200000000000002</v>
      </c>
      <c r="O160" s="13"/>
    </row>
    <row r="161" spans="1:15" ht="12.75">
      <c r="A161" s="14" t="s">
        <v>142</v>
      </c>
      <c r="B161" s="15" t="s">
        <v>94</v>
      </c>
      <c r="C161" s="16">
        <v>1</v>
      </c>
      <c r="D161" s="31"/>
      <c r="E161" s="31"/>
      <c r="F161" s="31"/>
      <c r="G161" s="18">
        <v>40.642000000000003</v>
      </c>
      <c r="H161" s="19">
        <v>49.768000000000001</v>
      </c>
      <c r="I161" s="19">
        <v>55.872999999999998</v>
      </c>
      <c r="J161" s="19">
        <v>27.98</v>
      </c>
      <c r="K161" s="119">
        <f>K162+K163+K164+K165</f>
        <v>10.412500000000001</v>
      </c>
      <c r="L161" s="19">
        <v>19.5</v>
      </c>
      <c r="M161" s="66">
        <v>23.963000000000001</v>
      </c>
      <c r="N161" s="66">
        <v>23.963000000000001</v>
      </c>
      <c r="O161" s="232"/>
    </row>
    <row r="162" spans="1:15" ht="12.75">
      <c r="A162" s="14" t="s">
        <v>143</v>
      </c>
      <c r="B162" s="15" t="s">
        <v>94</v>
      </c>
      <c r="C162" s="16"/>
      <c r="D162" s="31"/>
      <c r="E162" s="31"/>
      <c r="F162" s="31"/>
      <c r="G162" s="18"/>
      <c r="H162" s="19"/>
      <c r="I162" s="19">
        <v>0.21</v>
      </c>
      <c r="J162" s="19">
        <v>0.21</v>
      </c>
      <c r="K162" s="119"/>
      <c r="L162" s="19">
        <v>0.25</v>
      </c>
      <c r="M162" s="66"/>
      <c r="N162" s="66"/>
      <c r="O162" s="13"/>
    </row>
    <row r="163" spans="1:15" ht="12.75">
      <c r="A163" s="14" t="s">
        <v>144</v>
      </c>
      <c r="B163" s="15" t="s">
        <v>94</v>
      </c>
      <c r="C163" s="16">
        <v>1</v>
      </c>
      <c r="D163" s="31"/>
      <c r="E163" s="31"/>
      <c r="F163" s="31"/>
      <c r="G163" s="18">
        <v>30.803000000000001</v>
      </c>
      <c r="H163" s="19"/>
      <c r="I163" s="19">
        <v>43.53</v>
      </c>
      <c r="J163" s="19">
        <v>14.34</v>
      </c>
      <c r="K163" s="119">
        <v>0.2145</v>
      </c>
      <c r="L163" s="19">
        <v>17.25</v>
      </c>
      <c r="M163" s="66">
        <v>45.45</v>
      </c>
      <c r="N163" s="66">
        <v>45.45</v>
      </c>
      <c r="O163" s="13"/>
    </row>
    <row r="164" spans="1:15" ht="12.75">
      <c r="A164" s="14" t="s">
        <v>145</v>
      </c>
      <c r="B164" s="15" t="s">
        <v>94</v>
      </c>
      <c r="C164" s="16">
        <v>1</v>
      </c>
      <c r="D164" s="31"/>
      <c r="E164" s="31"/>
      <c r="F164" s="31"/>
      <c r="G164" s="18">
        <v>9.8390000000000004</v>
      </c>
      <c r="H164" s="19">
        <v>7.1890000000000001</v>
      </c>
      <c r="I164" s="19">
        <v>6.56</v>
      </c>
      <c r="J164" s="19">
        <v>8.7200000000000006</v>
      </c>
      <c r="K164" s="119">
        <v>5.6694000000000004</v>
      </c>
      <c r="L164" s="19"/>
      <c r="M164" s="66">
        <v>7.7222</v>
      </c>
      <c r="N164" s="66">
        <v>7.7222</v>
      </c>
      <c r="O164" s="13"/>
    </row>
    <row r="165" spans="1:15" ht="12.75">
      <c r="A165" s="14" t="s">
        <v>146</v>
      </c>
      <c r="B165" s="15" t="s">
        <v>94</v>
      </c>
      <c r="C165" s="16">
        <v>1</v>
      </c>
      <c r="D165" s="31"/>
      <c r="E165" s="31"/>
      <c r="F165" s="31"/>
      <c r="G165" s="18">
        <v>0</v>
      </c>
      <c r="H165" s="19"/>
      <c r="I165" s="19">
        <v>5.57</v>
      </c>
      <c r="J165" s="19">
        <v>4.71</v>
      </c>
      <c r="K165" s="119">
        <v>4.5286</v>
      </c>
      <c r="L165" s="19"/>
      <c r="M165" s="66"/>
      <c r="N165" s="66"/>
      <c r="O165" s="13"/>
    </row>
    <row r="166" spans="1:15" ht="31.5">
      <c r="A166" s="14" t="s">
        <v>147</v>
      </c>
      <c r="B166" s="15" t="s">
        <v>94</v>
      </c>
      <c r="C166" s="16"/>
      <c r="D166" s="31"/>
      <c r="E166" s="31"/>
      <c r="F166" s="31"/>
      <c r="G166" s="18"/>
      <c r="H166" s="19"/>
      <c r="I166" s="19"/>
      <c r="J166" s="19">
        <v>36.874000000000002</v>
      </c>
      <c r="K166" s="119"/>
      <c r="L166" s="19">
        <v>21.22</v>
      </c>
      <c r="M166" s="66">
        <v>29.96</v>
      </c>
      <c r="N166" s="66">
        <v>29.96</v>
      </c>
      <c r="O166" s="13"/>
    </row>
    <row r="167" spans="1:15" ht="12.75">
      <c r="A167" s="14" t="s">
        <v>148</v>
      </c>
      <c r="B167" s="15" t="s">
        <v>94</v>
      </c>
      <c r="C167" s="16"/>
      <c r="D167" s="31"/>
      <c r="E167" s="31"/>
      <c r="F167" s="31"/>
      <c r="G167" s="18">
        <v>20.631</v>
      </c>
      <c r="H167" s="19">
        <v>3.5760000000000001</v>
      </c>
      <c r="I167" s="19">
        <v>7.5490000000000004</v>
      </c>
      <c r="J167" s="19">
        <v>4.03</v>
      </c>
      <c r="K167" s="119">
        <v>5.2991000000000001</v>
      </c>
      <c r="L167" s="19"/>
      <c r="M167" s="66">
        <v>1.7</v>
      </c>
      <c r="N167" s="66">
        <v>1.7</v>
      </c>
      <c r="O167" s="13"/>
    </row>
    <row r="168" spans="1:15" ht="12.75">
      <c r="A168" s="14" t="s">
        <v>149</v>
      </c>
      <c r="B168" s="15" t="s">
        <v>94</v>
      </c>
      <c r="C168" s="16"/>
      <c r="D168" s="31"/>
      <c r="E168" s="31"/>
      <c r="F168" s="31"/>
      <c r="G168" s="18">
        <v>13.289</v>
      </c>
      <c r="H168" s="19">
        <f>H118-H146</f>
        <v>56.117400000000089</v>
      </c>
      <c r="I168" s="19">
        <v>57.2</v>
      </c>
      <c r="J168" s="19">
        <f>J118-J146</f>
        <v>-48.843499999999949</v>
      </c>
      <c r="K168" s="19">
        <f>K118-K146</f>
        <v>-7.2080999999998312</v>
      </c>
      <c r="L168" s="19">
        <v>-6</v>
      </c>
      <c r="M168" s="66">
        <f>M118-M146</f>
        <v>-3.0000000001564331E-3</v>
      </c>
      <c r="N168" s="66">
        <f>N118-N146</f>
        <v>-3.0000000001564331E-3</v>
      </c>
      <c r="O168" s="13"/>
    </row>
    <row r="169" spans="1:15" ht="12.75">
      <c r="A169" s="14" t="s">
        <v>150</v>
      </c>
      <c r="B169" s="15" t="s">
        <v>94</v>
      </c>
      <c r="C169" s="16"/>
      <c r="D169" s="31"/>
      <c r="E169" s="31"/>
      <c r="F169" s="31"/>
      <c r="G169" s="18">
        <v>0</v>
      </c>
      <c r="H169" s="19">
        <f>142/1000</f>
        <v>0.14199999999999999</v>
      </c>
      <c r="I169" s="19">
        <f>142/1000</f>
        <v>0.14199999999999999</v>
      </c>
      <c r="J169" s="19">
        <v>0</v>
      </c>
      <c r="K169" s="119"/>
      <c r="L169" s="19">
        <v>0</v>
      </c>
      <c r="M169" s="66">
        <v>0</v>
      </c>
      <c r="N169" s="66">
        <v>0</v>
      </c>
      <c r="O169" s="13"/>
    </row>
    <row r="170" spans="1:15" ht="28.5">
      <c r="A170" s="64" t="s">
        <v>151</v>
      </c>
      <c r="B170" s="34"/>
      <c r="C170" s="16"/>
      <c r="D170" s="31"/>
      <c r="E170" s="31"/>
      <c r="F170" s="31"/>
      <c r="G170" s="67"/>
      <c r="H170" s="19"/>
      <c r="I170" s="19"/>
      <c r="J170" s="19"/>
      <c r="K170" s="19"/>
      <c r="L170" s="19"/>
      <c r="M170" s="19"/>
      <c r="N170" s="19"/>
      <c r="O170" s="13"/>
    </row>
    <row r="171" spans="1:15" ht="12.75">
      <c r="A171" s="45" t="s">
        <v>152</v>
      </c>
      <c r="B171" s="15" t="s">
        <v>94</v>
      </c>
      <c r="C171" s="16">
        <v>1</v>
      </c>
      <c r="D171" s="31"/>
      <c r="E171" s="31"/>
      <c r="F171" s="31"/>
      <c r="G171" s="18">
        <f t="shared" ref="G171:I171" si="13">G173+G174+G175+G179+G180</f>
        <v>7231.19</v>
      </c>
      <c r="H171" s="19">
        <f t="shared" si="13"/>
        <v>6584.8380000000006</v>
      </c>
      <c r="I171" s="19">
        <f t="shared" si="13"/>
        <v>7687.9</v>
      </c>
      <c r="J171" s="19">
        <f>J173+J174+J175+J179+J180</f>
        <v>8113.5250000000005</v>
      </c>
      <c r="K171" s="19">
        <f>K173+K174+K175+K179+K180</f>
        <v>8787.5383999999995</v>
      </c>
      <c r="L171" s="19">
        <v>8804.8498125000006</v>
      </c>
      <c r="M171" s="19">
        <v>9245.0923031250022</v>
      </c>
      <c r="N171" s="41"/>
      <c r="O171" s="13"/>
    </row>
    <row r="172" spans="1:15" ht="12.75">
      <c r="A172" s="14" t="s">
        <v>31</v>
      </c>
      <c r="B172" s="15"/>
      <c r="C172" s="16"/>
      <c r="D172" s="31"/>
      <c r="E172" s="31"/>
      <c r="F172" s="31"/>
      <c r="G172" s="18"/>
      <c r="H172" s="19"/>
      <c r="I172" s="19"/>
      <c r="J172" s="19"/>
      <c r="K172" s="19"/>
      <c r="L172" s="19"/>
      <c r="M172" s="19"/>
      <c r="N172" s="41"/>
      <c r="O172" s="13"/>
    </row>
    <row r="173" spans="1:15" ht="12.75">
      <c r="A173" s="36" t="s">
        <v>153</v>
      </c>
      <c r="B173" s="15" t="s">
        <v>94</v>
      </c>
      <c r="C173" s="16">
        <v>1</v>
      </c>
      <c r="D173" s="31"/>
      <c r="E173" s="31"/>
      <c r="F173" s="31"/>
      <c r="G173" s="18">
        <v>5007.3</v>
      </c>
      <c r="H173" s="19">
        <v>3724.3</v>
      </c>
      <c r="I173" s="19">
        <v>4274.8999999999996</v>
      </c>
      <c r="J173" s="19">
        <v>5040.8450000000003</v>
      </c>
      <c r="K173" s="19">
        <v>5392.6679999999997</v>
      </c>
      <c r="L173" s="19">
        <v>5557.5316125000008</v>
      </c>
      <c r="M173" s="19">
        <v>5835.4081931250012</v>
      </c>
      <c r="N173" s="19">
        <v>6127.1786027812514</v>
      </c>
      <c r="O173" s="13"/>
    </row>
    <row r="174" spans="1:15" ht="12.75">
      <c r="A174" s="36" t="s">
        <v>154</v>
      </c>
      <c r="B174" s="15" t="s">
        <v>94</v>
      </c>
      <c r="C174" s="16">
        <v>1</v>
      </c>
      <c r="D174" s="31"/>
      <c r="E174" s="31"/>
      <c r="F174" s="31"/>
      <c r="G174" s="18">
        <v>422.3</v>
      </c>
      <c r="H174" s="19">
        <v>516.1</v>
      </c>
      <c r="I174" s="19">
        <v>885</v>
      </c>
      <c r="J174" s="19">
        <v>660.6</v>
      </c>
      <c r="K174" s="19">
        <v>664.88660000000004</v>
      </c>
      <c r="L174" s="19">
        <v>588</v>
      </c>
      <c r="M174" s="19">
        <v>617.4</v>
      </c>
      <c r="N174" s="19">
        <v>648.27</v>
      </c>
      <c r="O174" s="13"/>
    </row>
    <row r="175" spans="1:15" ht="12.75">
      <c r="A175" s="36" t="s">
        <v>155</v>
      </c>
      <c r="B175" s="15" t="s">
        <v>94</v>
      </c>
      <c r="C175" s="16">
        <v>1</v>
      </c>
      <c r="D175" s="31"/>
      <c r="E175" s="31"/>
      <c r="F175" s="31"/>
      <c r="G175" s="18">
        <v>1529.4</v>
      </c>
      <c r="H175" s="19">
        <f>H176+H177</f>
        <v>2062.4300000000003</v>
      </c>
      <c r="I175" s="19">
        <v>2178.1999999999998</v>
      </c>
      <c r="J175" s="19">
        <v>2302.08</v>
      </c>
      <c r="K175" s="19">
        <f>K176+K177</f>
        <v>2549.8578000000002</v>
      </c>
      <c r="L175" s="19">
        <v>2538.0432000000005</v>
      </c>
      <c r="M175" s="19">
        <v>2664.9453600000006</v>
      </c>
      <c r="N175" s="19">
        <v>2798.1926280000007</v>
      </c>
      <c r="O175" s="13"/>
    </row>
    <row r="176" spans="1:15" ht="12.75">
      <c r="A176" s="59" t="s">
        <v>156</v>
      </c>
      <c r="B176" s="15" t="s">
        <v>94</v>
      </c>
      <c r="C176" s="16">
        <v>1</v>
      </c>
      <c r="D176" s="31"/>
      <c r="E176" s="31"/>
      <c r="F176" s="31"/>
      <c r="G176" s="18">
        <v>1241.5</v>
      </c>
      <c r="H176" s="19">
        <v>1566.93</v>
      </c>
      <c r="I176" s="19">
        <v>1673.8</v>
      </c>
      <c r="J176" s="19">
        <v>1953.22</v>
      </c>
      <c r="K176" s="19">
        <v>2194.9259000000002</v>
      </c>
      <c r="L176" s="19">
        <v>2344.8810000000003</v>
      </c>
      <c r="M176" s="19">
        <v>2462.1250500000006</v>
      </c>
      <c r="N176" s="19">
        <v>2585.2313025000008</v>
      </c>
      <c r="O176" s="232"/>
    </row>
    <row r="177" spans="1:16" ht="12.75">
      <c r="A177" s="59" t="s">
        <v>157</v>
      </c>
      <c r="B177" s="15" t="s">
        <v>94</v>
      </c>
      <c r="C177" s="16">
        <v>1</v>
      </c>
      <c r="D177" s="31"/>
      <c r="E177" s="31"/>
      <c r="F177" s="31"/>
      <c r="G177" s="18">
        <v>287.89999999999998</v>
      </c>
      <c r="H177" s="19">
        <v>495.5</v>
      </c>
      <c r="I177" s="19">
        <v>504.3</v>
      </c>
      <c r="J177" s="19">
        <v>348.86</v>
      </c>
      <c r="K177" s="19">
        <v>354.93189999999998</v>
      </c>
      <c r="L177" s="19">
        <v>384.61815000000007</v>
      </c>
      <c r="M177" s="19">
        <v>403.84905750000007</v>
      </c>
      <c r="N177" s="19">
        <v>424.04151037500009</v>
      </c>
      <c r="O177" s="13"/>
    </row>
    <row r="178" spans="1:16" ht="12.75">
      <c r="A178" s="59" t="s">
        <v>158</v>
      </c>
      <c r="B178" s="15" t="s">
        <v>94</v>
      </c>
      <c r="C178" s="16">
        <v>1</v>
      </c>
      <c r="D178" s="31"/>
      <c r="E178" s="31"/>
      <c r="F178" s="31"/>
      <c r="G178" s="18"/>
      <c r="H178" s="19"/>
      <c r="I178" s="19">
        <v>0</v>
      </c>
      <c r="J178" s="19">
        <v>0</v>
      </c>
      <c r="K178" s="19">
        <f t="shared" ref="K178:K179" si="14">J178*1.05</f>
        <v>0</v>
      </c>
      <c r="L178" s="19">
        <v>0</v>
      </c>
      <c r="M178" s="19">
        <v>0</v>
      </c>
      <c r="N178" s="19">
        <v>0</v>
      </c>
      <c r="O178" s="232"/>
    </row>
    <row r="179" spans="1:16" ht="12.75">
      <c r="A179" s="36" t="s">
        <v>159</v>
      </c>
      <c r="B179" s="15" t="s">
        <v>94</v>
      </c>
      <c r="C179" s="16">
        <v>1</v>
      </c>
      <c r="D179" s="31"/>
      <c r="E179" s="31"/>
      <c r="F179" s="31"/>
      <c r="G179" s="18">
        <v>25.08</v>
      </c>
      <c r="H179" s="19">
        <v>82</v>
      </c>
      <c r="I179" s="19">
        <v>82.6</v>
      </c>
      <c r="J179" s="19"/>
      <c r="K179" s="19">
        <f t="shared" si="14"/>
        <v>0</v>
      </c>
      <c r="L179" s="19">
        <v>0</v>
      </c>
      <c r="M179" s="19">
        <v>0</v>
      </c>
      <c r="N179" s="19">
        <v>0</v>
      </c>
      <c r="O179" s="13"/>
    </row>
    <row r="180" spans="1:16" ht="12.75">
      <c r="A180" s="36" t="s">
        <v>160</v>
      </c>
      <c r="B180" s="15" t="s">
        <v>94</v>
      </c>
      <c r="C180" s="16">
        <v>1</v>
      </c>
      <c r="D180" s="31"/>
      <c r="E180" s="31"/>
      <c r="F180" s="31"/>
      <c r="G180" s="18">
        <f>0.92+109.47+136.72</f>
        <v>247.11</v>
      </c>
      <c r="H180" s="19">
        <f>5.198+66.91+127.9</f>
        <v>200.00800000000001</v>
      </c>
      <c r="I180" s="19">
        <f>2.7+127+137.5</f>
        <v>267.2</v>
      </c>
      <c r="J180" s="19">
        <v>110</v>
      </c>
      <c r="K180" s="19">
        <f>122.566+57.56</f>
        <v>180.126</v>
      </c>
      <c r="L180" s="19">
        <v>121.27500000000001</v>
      </c>
      <c r="M180" s="19">
        <v>127.33875</v>
      </c>
      <c r="N180" s="19">
        <v>133.70568750000001</v>
      </c>
      <c r="O180" s="13"/>
    </row>
    <row r="181" spans="1:16" ht="21">
      <c r="A181" s="14" t="s">
        <v>161</v>
      </c>
      <c r="B181" s="15" t="s">
        <v>162</v>
      </c>
      <c r="C181" s="16">
        <v>1</v>
      </c>
      <c r="D181" s="31"/>
      <c r="E181" s="31"/>
      <c r="F181" s="31"/>
      <c r="G181" s="18">
        <f>G171/G6/12*1000</f>
        <v>9552.9354259141837</v>
      </c>
      <c r="H181" s="19">
        <v>8335.4</v>
      </c>
      <c r="I181" s="19">
        <v>8752.17</v>
      </c>
      <c r="J181" s="19">
        <v>9649.267425</v>
      </c>
      <c r="K181" s="19">
        <f>K171/K6/12*1000</f>
        <v>10536.616786570743</v>
      </c>
      <c r="L181" s="19">
        <v>10638.6</v>
      </c>
      <c r="M181" s="19">
        <v>11170.53</v>
      </c>
      <c r="N181" s="19">
        <v>11729.056500000001</v>
      </c>
      <c r="O181" s="13"/>
    </row>
    <row r="182" spans="1:16" ht="12.75">
      <c r="A182" s="45" t="s">
        <v>163</v>
      </c>
      <c r="B182" s="15" t="s">
        <v>94</v>
      </c>
      <c r="C182" s="16">
        <v>1</v>
      </c>
      <c r="D182" s="31"/>
      <c r="E182" s="31"/>
      <c r="F182" s="31"/>
      <c r="G182" s="18">
        <f t="shared" ref="G182:I182" si="15">G184+G186+G187</f>
        <v>6914.0800000000008</v>
      </c>
      <c r="H182" s="19">
        <f t="shared" si="15"/>
        <v>6538.7</v>
      </c>
      <c r="I182" s="19">
        <f t="shared" si="15"/>
        <v>7745.119999999999</v>
      </c>
      <c r="J182" s="19">
        <f>J184+J186+J187</f>
        <v>8156.33</v>
      </c>
      <c r="K182" s="19">
        <f>K184+K186+K187</f>
        <v>8759.6470300000001</v>
      </c>
      <c r="L182" s="19">
        <v>8992.3538250000001</v>
      </c>
      <c r="M182" s="19">
        <v>9441.9715162500015</v>
      </c>
      <c r="N182" s="19">
        <v>9914.0700920625004</v>
      </c>
      <c r="O182" s="13"/>
    </row>
    <row r="183" spans="1:16" ht="12.75">
      <c r="A183" s="14" t="s">
        <v>31</v>
      </c>
      <c r="B183" s="15" t="s">
        <v>164</v>
      </c>
      <c r="C183" s="16"/>
      <c r="D183" s="31"/>
      <c r="E183" s="31"/>
      <c r="F183" s="31"/>
      <c r="G183" s="18"/>
      <c r="H183" s="19"/>
      <c r="I183" s="19">
        <v>0</v>
      </c>
      <c r="J183" s="19">
        <v>0</v>
      </c>
      <c r="K183" s="19">
        <f>J183*1.05</f>
        <v>0</v>
      </c>
      <c r="L183" s="19">
        <v>0</v>
      </c>
      <c r="M183" s="19">
        <v>0</v>
      </c>
      <c r="N183" s="19">
        <v>0</v>
      </c>
      <c r="O183" s="13"/>
      <c r="P183" s="60"/>
    </row>
    <row r="184" spans="1:16" ht="12.75">
      <c r="A184" s="36" t="s">
        <v>165</v>
      </c>
      <c r="B184" s="15" t="s">
        <v>94</v>
      </c>
      <c r="C184" s="16">
        <v>1</v>
      </c>
      <c r="D184" s="31"/>
      <c r="E184" s="31"/>
      <c r="F184" s="31"/>
      <c r="G184" s="18">
        <f>6143.1+521.18</f>
        <v>6664.2800000000007</v>
      </c>
      <c r="H184" s="19">
        <v>4364.96</v>
      </c>
      <c r="I184" s="19">
        <v>4841.74</v>
      </c>
      <c r="J184" s="19">
        <v>5785.65</v>
      </c>
      <c r="K184" s="19">
        <f>5450.503+888.989</f>
        <v>6339.4920000000002</v>
      </c>
      <c r="L184" s="19">
        <v>6378.6791250000006</v>
      </c>
      <c r="M184" s="19">
        <v>6697.6130812500005</v>
      </c>
      <c r="N184" s="19">
        <v>7032.4937353125006</v>
      </c>
      <c r="O184" s="13"/>
    </row>
    <row r="185" spans="1:16" ht="12.75">
      <c r="A185" s="59" t="s">
        <v>166</v>
      </c>
      <c r="B185" s="15" t="s">
        <v>94</v>
      </c>
      <c r="C185" s="16">
        <v>1</v>
      </c>
      <c r="D185" s="31"/>
      <c r="E185" s="31"/>
      <c r="F185" s="31"/>
      <c r="G185" s="18"/>
      <c r="H185" s="19">
        <v>3724.3</v>
      </c>
      <c r="I185" s="19">
        <v>4167.8</v>
      </c>
      <c r="J185" s="19">
        <v>5010.63</v>
      </c>
      <c r="K185" s="19">
        <v>5450.5029999999997</v>
      </c>
      <c r="L185" s="19">
        <v>5524.2195750000001</v>
      </c>
      <c r="M185" s="19">
        <v>5800.4305537500004</v>
      </c>
      <c r="N185" s="19">
        <v>6090.452081437501</v>
      </c>
      <c r="O185" s="13"/>
    </row>
    <row r="186" spans="1:16" ht="12.75">
      <c r="A186" s="36" t="s">
        <v>167</v>
      </c>
      <c r="B186" s="15" t="s">
        <v>94</v>
      </c>
      <c r="C186" s="16">
        <v>1</v>
      </c>
      <c r="D186" s="31"/>
      <c r="E186" s="31"/>
      <c r="F186" s="31"/>
      <c r="G186" s="18">
        <v>64.17</v>
      </c>
      <c r="H186" s="19">
        <v>58.61</v>
      </c>
      <c r="I186" s="19">
        <v>92.98</v>
      </c>
      <c r="J186" s="19">
        <v>90.12</v>
      </c>
      <c r="K186" s="19">
        <v>95.00103</v>
      </c>
      <c r="L186" s="19">
        <v>99.357300000000009</v>
      </c>
      <c r="M186" s="19">
        <v>104.32516500000001</v>
      </c>
      <c r="N186" s="19">
        <v>109.54142325000002</v>
      </c>
      <c r="O186" s="13"/>
    </row>
    <row r="187" spans="1:16" ht="12.75">
      <c r="A187" s="36" t="s">
        <v>168</v>
      </c>
      <c r="B187" s="15" t="s">
        <v>94</v>
      </c>
      <c r="C187" s="16">
        <v>1</v>
      </c>
      <c r="D187" s="31"/>
      <c r="E187" s="31"/>
      <c r="F187" s="31"/>
      <c r="G187" s="18">
        <f>65+1.2+117.93+1.5</f>
        <v>185.63</v>
      </c>
      <c r="H187" s="19">
        <f>452.5+1.8+300.74+1360.09</f>
        <v>2115.13</v>
      </c>
      <c r="I187" s="19">
        <v>2810.4</v>
      </c>
      <c r="J187" s="19">
        <f>1785+317.42+178.14</f>
        <v>2280.56</v>
      </c>
      <c r="K187" s="19">
        <v>2325.154</v>
      </c>
      <c r="L187" s="19">
        <v>2514.3174000000004</v>
      </c>
      <c r="M187" s="19">
        <v>2640.0332700000004</v>
      </c>
      <c r="N187" s="19">
        <v>2772.0349335000005</v>
      </c>
      <c r="O187" s="13"/>
    </row>
    <row r="188" spans="1:16" ht="21">
      <c r="A188" s="36" t="s">
        <v>169</v>
      </c>
      <c r="B188" s="15" t="s">
        <v>94</v>
      </c>
      <c r="C188" s="16">
        <v>1</v>
      </c>
      <c r="D188" s="31"/>
      <c r="E188" s="31"/>
      <c r="F188" s="31"/>
      <c r="G188" s="18">
        <f>G171-G182</f>
        <v>317.10999999999876</v>
      </c>
      <c r="H188" s="19">
        <f>H171-H182</f>
        <v>46.138000000000829</v>
      </c>
      <c r="I188" s="19">
        <f t="shared" ref="I188:J188" si="16">I171-I182</f>
        <v>-57.219999999999345</v>
      </c>
      <c r="J188" s="19">
        <f t="shared" si="16"/>
        <v>-42.804999999999382</v>
      </c>
      <c r="K188" s="19">
        <f>K171-K182</f>
        <v>27.89136999999937</v>
      </c>
      <c r="L188" s="19">
        <v>-187.50401249999959</v>
      </c>
      <c r="M188" s="19">
        <v>-196.8792131249993</v>
      </c>
      <c r="N188" s="19">
        <v>-9914.0700920625004</v>
      </c>
      <c r="O188" s="13"/>
    </row>
    <row r="189" spans="1:16" ht="31.5">
      <c r="A189" s="14" t="s">
        <v>170</v>
      </c>
      <c r="B189" s="15" t="s">
        <v>171</v>
      </c>
      <c r="C189" s="16">
        <v>1</v>
      </c>
      <c r="D189" s="68"/>
      <c r="E189" s="31"/>
      <c r="F189" s="31"/>
      <c r="G189" s="18">
        <v>6374.6</v>
      </c>
      <c r="H189" s="19">
        <v>7923</v>
      </c>
      <c r="I189" s="19">
        <v>8319.15</v>
      </c>
      <c r="J189" s="19">
        <v>9510</v>
      </c>
      <c r="K189" s="240">
        <f>J189+350</f>
        <v>9860</v>
      </c>
      <c r="L189" s="19">
        <v>10220</v>
      </c>
      <c r="M189" s="19">
        <v>10580</v>
      </c>
      <c r="N189" s="19">
        <v>10940</v>
      </c>
      <c r="O189" s="232"/>
    </row>
    <row r="190" spans="1:16" ht="14.25">
      <c r="A190" s="24" t="s">
        <v>172</v>
      </c>
      <c r="B190" s="34"/>
      <c r="C190" s="16"/>
      <c r="D190" s="31"/>
      <c r="E190" s="31"/>
      <c r="F190" s="31"/>
      <c r="G190" s="18"/>
      <c r="H190" s="19"/>
      <c r="I190" s="19"/>
      <c r="J190" s="19"/>
      <c r="K190" s="19"/>
      <c r="L190" s="19"/>
      <c r="M190" s="19"/>
      <c r="N190" s="19"/>
      <c r="O190" s="232"/>
    </row>
    <row r="191" spans="1:16" ht="12.75">
      <c r="A191" s="14" t="s">
        <v>173</v>
      </c>
      <c r="B191" s="15" t="s">
        <v>13</v>
      </c>
      <c r="C191" s="16">
        <v>1</v>
      </c>
      <c r="D191" s="31"/>
      <c r="E191" s="31"/>
      <c r="F191" s="31"/>
      <c r="G191" s="18">
        <v>37.08</v>
      </c>
      <c r="H191" s="19">
        <v>34.46</v>
      </c>
      <c r="I191" s="19">
        <v>34.130000000000003</v>
      </c>
      <c r="J191" s="19">
        <v>34.33</v>
      </c>
      <c r="K191" s="19">
        <v>34.927999999999997</v>
      </c>
      <c r="L191" s="19">
        <v>34.33</v>
      </c>
      <c r="M191" s="19">
        <v>34.33</v>
      </c>
      <c r="N191" s="19">
        <v>34.33</v>
      </c>
      <c r="O191" s="13"/>
    </row>
    <row r="192" spans="1:16" ht="21">
      <c r="A192" s="45" t="s">
        <v>174</v>
      </c>
      <c r="B192" s="15" t="s">
        <v>13</v>
      </c>
      <c r="C192" s="16">
        <v>1</v>
      </c>
      <c r="D192" s="31"/>
      <c r="E192" s="31"/>
      <c r="F192" s="31"/>
      <c r="G192" s="18">
        <v>32.790999999999997</v>
      </c>
      <c r="H192" s="19">
        <v>29.9</v>
      </c>
      <c r="I192" s="19">
        <v>29.12</v>
      </c>
      <c r="J192" s="19">
        <v>31.027999999999999</v>
      </c>
      <c r="K192" s="19">
        <v>31.029</v>
      </c>
      <c r="L192" s="19">
        <v>31.027999999999999</v>
      </c>
      <c r="M192" s="19">
        <v>31.027999999999999</v>
      </c>
      <c r="N192" s="19">
        <v>31.027999999999999</v>
      </c>
      <c r="O192" s="13"/>
    </row>
    <row r="193" spans="1:16" ht="21">
      <c r="A193" s="14" t="s">
        <v>175</v>
      </c>
      <c r="B193" s="15" t="s">
        <v>164</v>
      </c>
      <c r="C193" s="16"/>
      <c r="D193" s="31"/>
      <c r="E193" s="31"/>
      <c r="F193" s="31"/>
      <c r="G193" s="18"/>
      <c r="H193" s="19"/>
      <c r="I193" s="19"/>
      <c r="J193" s="19"/>
      <c r="K193" s="19"/>
      <c r="L193" s="19"/>
      <c r="M193" s="19"/>
      <c r="N193" s="19"/>
      <c r="O193" s="13"/>
    </row>
    <row r="194" spans="1:16" ht="21">
      <c r="A194" s="36" t="s">
        <v>176</v>
      </c>
      <c r="B194" s="15" t="s">
        <v>13</v>
      </c>
      <c r="C194" s="16">
        <v>1</v>
      </c>
      <c r="D194" s="31"/>
      <c r="E194" s="31"/>
      <c r="F194" s="31"/>
      <c r="G194" s="18">
        <v>3.21</v>
      </c>
      <c r="H194" s="19">
        <f>(230+2223+582)/1000</f>
        <v>3.0350000000000001</v>
      </c>
      <c r="I194" s="19">
        <v>2.73</v>
      </c>
      <c r="J194" s="19">
        <f>(806+1417+459+427)/1000</f>
        <v>3.109</v>
      </c>
      <c r="K194" s="19">
        <f>0.187+1.526+0.512+0.579</f>
        <v>2.8040000000000003</v>
      </c>
      <c r="L194" s="19">
        <f t="shared" ref="L194:N194" si="17">(230+2223+582)/1000</f>
        <v>3.0350000000000001</v>
      </c>
      <c r="M194" s="19">
        <f t="shared" si="17"/>
        <v>3.0350000000000001</v>
      </c>
      <c r="N194" s="19">
        <f t="shared" si="17"/>
        <v>3.0350000000000001</v>
      </c>
      <c r="O194" s="13"/>
    </row>
    <row r="195" spans="1:16" ht="12.75">
      <c r="A195" s="36" t="s">
        <v>177</v>
      </c>
      <c r="B195" s="15" t="s">
        <v>13</v>
      </c>
      <c r="C195" s="16">
        <v>1</v>
      </c>
      <c r="D195" s="31"/>
      <c r="E195" s="31"/>
      <c r="F195" s="31"/>
      <c r="G195" s="18"/>
      <c r="H195" s="19"/>
      <c r="I195" s="19"/>
      <c r="J195" s="19"/>
      <c r="K195" s="19"/>
      <c r="L195" s="19"/>
      <c r="M195" s="19"/>
      <c r="N195" s="19"/>
      <c r="O195" s="13"/>
    </row>
    <row r="196" spans="1:16" ht="21">
      <c r="A196" s="36" t="s">
        <v>178</v>
      </c>
      <c r="B196" s="15" t="s">
        <v>13</v>
      </c>
      <c r="C196" s="16">
        <v>1</v>
      </c>
      <c r="D196" s="31"/>
      <c r="E196" s="31"/>
      <c r="F196" s="31"/>
      <c r="G196" s="18">
        <f>4029/1000</f>
        <v>4.0289999999999999</v>
      </c>
      <c r="H196" s="19">
        <f t="shared" ref="H196:N196" si="18">(560+672)/1000</f>
        <v>1.232</v>
      </c>
      <c r="I196" s="19">
        <f t="shared" si="18"/>
        <v>1.232</v>
      </c>
      <c r="J196" s="19">
        <f t="shared" si="18"/>
        <v>1.232</v>
      </c>
      <c r="K196" s="240">
        <f t="shared" si="18"/>
        <v>1.232</v>
      </c>
      <c r="L196" s="19">
        <f t="shared" si="18"/>
        <v>1.232</v>
      </c>
      <c r="M196" s="19">
        <f t="shared" si="18"/>
        <v>1.232</v>
      </c>
      <c r="N196" s="19">
        <f t="shared" si="18"/>
        <v>1.232</v>
      </c>
      <c r="O196" s="13"/>
    </row>
    <row r="197" spans="1:16" ht="12.75">
      <c r="A197" s="36" t="s">
        <v>179</v>
      </c>
      <c r="B197" s="15" t="s">
        <v>13</v>
      </c>
      <c r="C197" s="16">
        <v>1</v>
      </c>
      <c r="D197" s="31"/>
      <c r="E197" s="31"/>
      <c r="F197" s="31"/>
      <c r="G197" s="18"/>
      <c r="H197" s="19"/>
      <c r="I197" s="19"/>
      <c r="J197" s="19"/>
      <c r="K197" s="19"/>
      <c r="L197" s="19"/>
      <c r="M197" s="19"/>
      <c r="N197" s="19"/>
      <c r="O197" s="234"/>
      <c r="P197" s="69"/>
    </row>
    <row r="198" spans="1:16" ht="15">
      <c r="A198" s="36" t="s">
        <v>180</v>
      </c>
      <c r="B198" s="15" t="s">
        <v>13</v>
      </c>
      <c r="C198" s="16">
        <v>1</v>
      </c>
      <c r="D198" s="31"/>
      <c r="E198" s="31"/>
      <c r="F198" s="31"/>
      <c r="G198" s="18">
        <v>15.8</v>
      </c>
      <c r="H198" s="19">
        <v>15.8</v>
      </c>
      <c r="I198" s="19">
        <v>18.47</v>
      </c>
      <c r="J198" s="19">
        <v>15.8</v>
      </c>
      <c r="K198" s="240">
        <v>15.8</v>
      </c>
      <c r="L198" s="19">
        <v>15.8</v>
      </c>
      <c r="M198" s="19">
        <v>15.8</v>
      </c>
      <c r="N198" s="19">
        <v>15.8</v>
      </c>
      <c r="O198" s="235"/>
      <c r="P198" s="70"/>
    </row>
    <row r="199" spans="1:16" ht="15">
      <c r="A199" s="36" t="s">
        <v>181</v>
      </c>
      <c r="B199" s="15" t="s">
        <v>164</v>
      </c>
      <c r="C199" s="16">
        <v>1</v>
      </c>
      <c r="D199" s="31"/>
      <c r="E199" s="31"/>
      <c r="F199" s="31"/>
      <c r="G199" s="18"/>
      <c r="H199" s="19"/>
      <c r="I199" s="19"/>
      <c r="J199" s="19"/>
      <c r="K199" s="19"/>
      <c r="L199" s="19"/>
      <c r="M199" s="19"/>
      <c r="N199" s="19"/>
      <c r="O199" s="235"/>
      <c r="P199" s="70"/>
    </row>
    <row r="200" spans="1:16" ht="21">
      <c r="A200" s="59" t="s">
        <v>182</v>
      </c>
      <c r="B200" s="15" t="s">
        <v>13</v>
      </c>
      <c r="C200" s="16">
        <v>1</v>
      </c>
      <c r="D200" s="31"/>
      <c r="E200" s="31"/>
      <c r="F200" s="31"/>
      <c r="G200" s="18">
        <v>0.16</v>
      </c>
      <c r="H200" s="19">
        <v>0.16</v>
      </c>
      <c r="I200" s="19">
        <v>0.16800000000000001</v>
      </c>
      <c r="J200" s="19">
        <v>0.16</v>
      </c>
      <c r="K200" s="240">
        <v>0.16</v>
      </c>
      <c r="L200" s="19">
        <v>0.16</v>
      </c>
      <c r="M200" s="19">
        <v>0.16</v>
      </c>
      <c r="N200" s="19">
        <v>0.16</v>
      </c>
      <c r="O200" s="235"/>
      <c r="P200" s="70"/>
    </row>
    <row r="201" spans="1:16" ht="15">
      <c r="A201" s="59" t="s">
        <v>183</v>
      </c>
      <c r="B201" s="15" t="s">
        <v>13</v>
      </c>
      <c r="C201" s="16">
        <v>1</v>
      </c>
      <c r="D201" s="31"/>
      <c r="E201" s="31"/>
      <c r="F201" s="31"/>
      <c r="G201" s="18"/>
      <c r="H201" s="19"/>
      <c r="I201" s="19">
        <f>I198-I202-I200</f>
        <v>2.501999999999998</v>
      </c>
      <c r="J201" s="19"/>
      <c r="K201" s="19"/>
      <c r="L201" s="19"/>
      <c r="M201" s="19"/>
      <c r="N201" s="19"/>
      <c r="O201" s="233"/>
      <c r="P201" s="71"/>
    </row>
    <row r="202" spans="1:16" ht="42">
      <c r="A202" s="59" t="s">
        <v>184</v>
      </c>
      <c r="B202" s="15" t="s">
        <v>13</v>
      </c>
      <c r="C202" s="16">
        <v>1</v>
      </c>
      <c r="D202" s="31"/>
      <c r="E202" s="31"/>
      <c r="F202" s="31"/>
      <c r="G202" s="18">
        <f>G198-G200</f>
        <v>15.64</v>
      </c>
      <c r="H202" s="19">
        <v>15.64</v>
      </c>
      <c r="I202" s="19">
        <v>15.8</v>
      </c>
      <c r="J202" s="19">
        <v>15.64</v>
      </c>
      <c r="K202" s="240">
        <v>15.64</v>
      </c>
      <c r="L202" s="19">
        <v>15.64</v>
      </c>
      <c r="M202" s="19">
        <v>15.64</v>
      </c>
      <c r="N202" s="19">
        <v>15.64</v>
      </c>
      <c r="O202" s="233"/>
      <c r="P202" s="71"/>
    </row>
    <row r="203" spans="1:16" ht="21">
      <c r="A203" s="14" t="s">
        <v>185</v>
      </c>
      <c r="B203" s="15" t="s">
        <v>13</v>
      </c>
      <c r="C203" s="16">
        <v>1</v>
      </c>
      <c r="D203" s="31"/>
      <c r="E203" s="31"/>
      <c r="F203" s="31"/>
      <c r="G203" s="18">
        <v>0.92</v>
      </c>
      <c r="H203" s="19">
        <v>1.6</v>
      </c>
      <c r="I203" s="19">
        <v>1.74</v>
      </c>
      <c r="J203" s="19">
        <v>1.7</v>
      </c>
      <c r="K203" s="240">
        <v>1.7</v>
      </c>
      <c r="L203" s="19">
        <v>1.7</v>
      </c>
      <c r="M203" s="19">
        <v>1.7</v>
      </c>
      <c r="N203" s="19">
        <v>1.7</v>
      </c>
      <c r="O203" s="13"/>
    </row>
    <row r="204" spans="1:16" ht="31.5" customHeight="1">
      <c r="A204" s="14" t="s">
        <v>186</v>
      </c>
      <c r="B204" s="15" t="s">
        <v>13</v>
      </c>
      <c r="C204" s="16">
        <v>1</v>
      </c>
      <c r="D204" s="31"/>
      <c r="E204" s="31"/>
      <c r="F204" s="31"/>
      <c r="G204" s="18">
        <v>3.7</v>
      </c>
      <c r="H204" s="19">
        <f t="shared" ref="H204:N204" si="19">66.58</f>
        <v>66.58</v>
      </c>
      <c r="I204" s="19">
        <f t="shared" si="19"/>
        <v>66.58</v>
      </c>
      <c r="J204" s="19">
        <f t="shared" si="19"/>
        <v>66.58</v>
      </c>
      <c r="K204" s="240">
        <f t="shared" si="19"/>
        <v>66.58</v>
      </c>
      <c r="L204" s="19">
        <f t="shared" si="19"/>
        <v>66.58</v>
      </c>
      <c r="M204" s="19">
        <f t="shared" si="19"/>
        <v>66.58</v>
      </c>
      <c r="N204" s="19">
        <f t="shared" si="19"/>
        <v>66.58</v>
      </c>
      <c r="O204" s="13"/>
    </row>
    <row r="205" spans="1:16" ht="12.75">
      <c r="A205" s="14" t="s">
        <v>187</v>
      </c>
      <c r="B205" s="15" t="s">
        <v>188</v>
      </c>
      <c r="C205" s="16">
        <v>1</v>
      </c>
      <c r="D205" s="31"/>
      <c r="E205" s="31"/>
      <c r="F205" s="31"/>
      <c r="G205" s="18">
        <v>9.02</v>
      </c>
      <c r="H205" s="19">
        <v>8.9</v>
      </c>
      <c r="I205" s="19">
        <v>10.1</v>
      </c>
      <c r="J205" s="66">
        <v>9.5</v>
      </c>
      <c r="K205" s="66">
        <v>9.3960000000000008</v>
      </c>
      <c r="L205" s="66">
        <v>8.9</v>
      </c>
      <c r="M205" s="66">
        <v>8.9</v>
      </c>
      <c r="N205" s="66">
        <v>8.9</v>
      </c>
      <c r="O205" s="13"/>
    </row>
    <row r="206" spans="1:16" ht="12.75">
      <c r="A206" s="14" t="s">
        <v>189</v>
      </c>
      <c r="B206" s="15" t="s">
        <v>188</v>
      </c>
      <c r="C206" s="16">
        <v>1</v>
      </c>
      <c r="D206" s="31"/>
      <c r="E206" s="31"/>
      <c r="F206" s="31"/>
      <c r="G206" s="18">
        <v>2.75</v>
      </c>
      <c r="H206" s="19">
        <v>2.4</v>
      </c>
      <c r="I206" s="19">
        <v>2.4300000000000002</v>
      </c>
      <c r="J206" s="19">
        <v>4.18</v>
      </c>
      <c r="K206" s="19">
        <v>3.83</v>
      </c>
      <c r="L206" s="19">
        <v>2.4</v>
      </c>
      <c r="M206" s="19">
        <v>2.4</v>
      </c>
      <c r="N206" s="19">
        <v>2.4</v>
      </c>
      <c r="O206" s="13"/>
    </row>
    <row r="207" spans="1:16" ht="12.75">
      <c r="A207" s="14" t="s">
        <v>190</v>
      </c>
      <c r="B207" s="15" t="s">
        <v>13</v>
      </c>
      <c r="C207" s="16">
        <v>1</v>
      </c>
      <c r="D207" s="31"/>
      <c r="E207" s="31"/>
      <c r="F207" s="31"/>
      <c r="G207" s="18">
        <v>3.2</v>
      </c>
      <c r="H207" s="19">
        <v>2.92</v>
      </c>
      <c r="I207" s="19">
        <v>3.278</v>
      </c>
      <c r="J207" s="66">
        <v>3.2749999999999999</v>
      </c>
      <c r="K207" s="66">
        <v>3.218</v>
      </c>
      <c r="L207" s="66">
        <v>2.92</v>
      </c>
      <c r="M207" s="66">
        <v>2.92</v>
      </c>
      <c r="N207" s="66">
        <v>2.92</v>
      </c>
      <c r="O207" s="13"/>
    </row>
    <row r="208" spans="1:16" ht="31.5">
      <c r="A208" s="14" t="s">
        <v>191</v>
      </c>
      <c r="B208" s="15" t="s">
        <v>13</v>
      </c>
      <c r="C208" s="16">
        <v>1</v>
      </c>
      <c r="D208" s="31"/>
      <c r="E208" s="68"/>
      <c r="F208" s="31"/>
      <c r="G208" s="18">
        <v>0.99</v>
      </c>
      <c r="H208" s="19">
        <v>0.79</v>
      </c>
      <c r="I208" s="19">
        <v>0.78600000000000003</v>
      </c>
      <c r="J208" s="19">
        <v>1.4350000000000001</v>
      </c>
      <c r="K208" s="220">
        <v>1.3129999999999999</v>
      </c>
      <c r="L208" s="220">
        <f t="shared" ref="L208:N208" si="20">798/1000</f>
        <v>0.79800000000000004</v>
      </c>
      <c r="M208" s="220">
        <f t="shared" si="20"/>
        <v>0.79800000000000004</v>
      </c>
      <c r="N208" s="220">
        <f t="shared" si="20"/>
        <v>0.79800000000000004</v>
      </c>
      <c r="O208" s="13"/>
    </row>
    <row r="209" spans="1:15" ht="21">
      <c r="A209" s="14" t="s">
        <v>192</v>
      </c>
      <c r="B209" s="15" t="s">
        <v>13</v>
      </c>
      <c r="C209" s="16">
        <v>1</v>
      </c>
      <c r="D209" s="31"/>
      <c r="E209" s="31"/>
      <c r="F209" s="31"/>
      <c r="G209" s="18">
        <v>6.569</v>
      </c>
      <c r="H209" s="19">
        <v>3.97</v>
      </c>
      <c r="I209" s="19">
        <v>4.3630000000000004</v>
      </c>
      <c r="J209" s="19">
        <v>4.4960000000000004</v>
      </c>
      <c r="K209" s="19">
        <v>4.7050000000000001</v>
      </c>
      <c r="L209" s="19">
        <v>3.97</v>
      </c>
      <c r="M209" s="19">
        <v>3.97</v>
      </c>
      <c r="N209" s="19">
        <v>3.97</v>
      </c>
      <c r="O209" s="13"/>
    </row>
    <row r="210" spans="1:15" ht="12.75">
      <c r="A210" s="14" t="s">
        <v>193</v>
      </c>
      <c r="B210" s="15" t="s">
        <v>30</v>
      </c>
      <c r="C210" s="16">
        <v>1</v>
      </c>
      <c r="D210" s="31"/>
      <c r="E210" s="31"/>
      <c r="F210" s="31"/>
      <c r="G210" s="18">
        <v>422.3</v>
      </c>
      <c r="H210" s="19">
        <v>516.1</v>
      </c>
      <c r="I210" s="19">
        <v>885</v>
      </c>
      <c r="J210" s="19">
        <v>660.6</v>
      </c>
      <c r="K210" s="19">
        <v>664.88660000000004</v>
      </c>
      <c r="L210" s="19">
        <f>J210*1.05</f>
        <v>693.63000000000011</v>
      </c>
      <c r="M210" s="19">
        <f>L210*1.05</f>
        <v>728.31150000000014</v>
      </c>
      <c r="N210" s="19">
        <f>M210*1.05</f>
        <v>764.72707500000013</v>
      </c>
      <c r="O210" s="13"/>
    </row>
    <row r="211" spans="1:15" ht="12.75">
      <c r="A211" s="14" t="s">
        <v>194</v>
      </c>
      <c r="B211" s="15" t="s">
        <v>30</v>
      </c>
      <c r="C211" s="16">
        <v>1</v>
      </c>
      <c r="D211" s="31"/>
      <c r="E211" s="31"/>
      <c r="F211" s="31"/>
      <c r="G211" s="18">
        <v>1529.4</v>
      </c>
      <c r="H211" s="19">
        <v>2062.4</v>
      </c>
      <c r="I211" s="19">
        <v>2178.1999999999998</v>
      </c>
      <c r="J211" s="19">
        <v>2302.0843</v>
      </c>
      <c r="K211" s="19">
        <v>2549.8578000000002</v>
      </c>
      <c r="L211" s="19">
        <f>J211*1.05</f>
        <v>2417.1885150000003</v>
      </c>
      <c r="M211" s="19">
        <f>L211*1.05</f>
        <v>2538.0479407500002</v>
      </c>
      <c r="N211" s="19">
        <f>M211*1.05</f>
        <v>2664.9503377875003</v>
      </c>
      <c r="O211" s="13"/>
    </row>
    <row r="212" spans="1:15" ht="14.25">
      <c r="A212" s="24" t="s">
        <v>195</v>
      </c>
      <c r="B212" s="15"/>
      <c r="C212" s="16"/>
      <c r="D212" s="31"/>
      <c r="E212" s="31"/>
      <c r="F212" s="31"/>
      <c r="G212" s="18"/>
      <c r="H212" s="19"/>
      <c r="I212" s="19"/>
      <c r="J212" s="19"/>
      <c r="K212" s="19"/>
      <c r="L212" s="19"/>
      <c r="M212" s="19"/>
      <c r="N212" s="19"/>
      <c r="O212" s="13"/>
    </row>
    <row r="213" spans="1:15" ht="21">
      <c r="A213" s="14" t="s">
        <v>196</v>
      </c>
      <c r="B213" s="15" t="s">
        <v>197</v>
      </c>
      <c r="C213" s="16">
        <v>1</v>
      </c>
      <c r="D213" s="17"/>
      <c r="E213" s="17"/>
      <c r="F213" s="17"/>
      <c r="G213" s="18">
        <v>670</v>
      </c>
      <c r="H213" s="19">
        <v>670</v>
      </c>
      <c r="I213" s="19">
        <v>670</v>
      </c>
      <c r="J213" s="19">
        <f>I213+50+50</f>
        <v>770</v>
      </c>
      <c r="K213" s="240">
        <v>1079</v>
      </c>
      <c r="L213" s="19"/>
      <c r="M213" s="19"/>
      <c r="N213" s="19"/>
      <c r="O213" s="13"/>
    </row>
    <row r="214" spans="1:15" ht="21">
      <c r="A214" s="72" t="s">
        <v>198</v>
      </c>
      <c r="B214" s="15"/>
      <c r="C214" s="16"/>
      <c r="D214" s="31"/>
      <c r="E214" s="31"/>
      <c r="F214" s="31"/>
      <c r="G214" s="41"/>
      <c r="H214" s="19"/>
      <c r="I214" s="19"/>
      <c r="J214" s="19"/>
      <c r="K214" s="19"/>
      <c r="L214" s="19"/>
      <c r="M214" s="19"/>
      <c r="N214" s="19"/>
      <c r="O214" s="13"/>
    </row>
    <row r="215" spans="1:15" ht="24.75" customHeight="1">
      <c r="A215" s="36" t="s">
        <v>199</v>
      </c>
      <c r="B215" s="15" t="s">
        <v>197</v>
      </c>
      <c r="C215" s="16">
        <v>1</v>
      </c>
      <c r="D215" s="31"/>
      <c r="E215" s="31"/>
      <c r="F215" s="31"/>
      <c r="G215" s="18">
        <v>9622</v>
      </c>
      <c r="H215" s="19">
        <f>10073-493</f>
        <v>9580</v>
      </c>
      <c r="I215" s="19">
        <f>10013-449</f>
        <v>9564</v>
      </c>
      <c r="J215" s="19">
        <v>9957</v>
      </c>
      <c r="K215" s="19">
        <v>10055</v>
      </c>
      <c r="L215" s="19"/>
      <c r="M215" s="19"/>
      <c r="N215" s="19"/>
      <c r="O215" s="13"/>
    </row>
    <row r="216" spans="1:15" ht="12.75">
      <c r="A216" s="36" t="s">
        <v>200</v>
      </c>
      <c r="B216" s="15" t="s">
        <v>197</v>
      </c>
      <c r="C216" s="16">
        <v>1</v>
      </c>
      <c r="D216" s="31"/>
      <c r="E216" s="68"/>
      <c r="F216" s="31"/>
      <c r="G216" s="18">
        <f>704+9</f>
        <v>713</v>
      </c>
      <c r="H216" s="19">
        <f>10566-H215</f>
        <v>986</v>
      </c>
      <c r="I216" s="19">
        <f>103+346</f>
        <v>449</v>
      </c>
      <c r="J216" s="19">
        <v>112</v>
      </c>
      <c r="K216" s="19">
        <v>95</v>
      </c>
      <c r="L216" s="19"/>
      <c r="M216" s="19"/>
      <c r="N216" s="19"/>
      <c r="O216" s="13"/>
    </row>
    <row r="217" spans="1:15" ht="12.75">
      <c r="A217" s="36" t="s">
        <v>201</v>
      </c>
      <c r="B217" s="15" t="s">
        <v>197</v>
      </c>
      <c r="C217" s="16">
        <v>1</v>
      </c>
      <c r="D217" s="31"/>
      <c r="E217" s="31"/>
      <c r="F217" s="31"/>
      <c r="G217" s="18"/>
      <c r="H217" s="19">
        <v>0</v>
      </c>
      <c r="I217" s="19">
        <v>0</v>
      </c>
      <c r="J217" s="19">
        <v>0</v>
      </c>
      <c r="K217" s="19">
        <v>0</v>
      </c>
      <c r="L217" s="19"/>
      <c r="M217" s="19"/>
      <c r="N217" s="19"/>
      <c r="O217" s="13"/>
    </row>
    <row r="218" spans="1:15" ht="42">
      <c r="A218" s="14" t="s">
        <v>202</v>
      </c>
      <c r="B218" s="15" t="s">
        <v>203</v>
      </c>
      <c r="C218" s="16">
        <v>1</v>
      </c>
      <c r="D218" s="31"/>
      <c r="E218" s="31"/>
      <c r="F218" s="31"/>
      <c r="G218" s="18">
        <f>7255/9622*100</f>
        <v>75.400124714196636</v>
      </c>
      <c r="H218" s="19">
        <f>7827/H215*100</f>
        <v>81.701461377870572</v>
      </c>
      <c r="I218" s="19">
        <f>7683/I215*100</f>
        <v>80.332496863237139</v>
      </c>
      <c r="J218" s="19">
        <f>7979/J215*100</f>
        <v>80.134578688359952</v>
      </c>
      <c r="K218" s="19">
        <f>8221/K215*100</f>
        <v>81.760318249627048</v>
      </c>
      <c r="L218" s="19"/>
      <c r="M218" s="19"/>
      <c r="N218" s="19"/>
      <c r="O218" s="13"/>
    </row>
    <row r="219" spans="1:15" ht="29.25">
      <c r="A219" s="45" t="s">
        <v>204</v>
      </c>
      <c r="B219" s="73" t="s">
        <v>205</v>
      </c>
      <c r="C219" s="16">
        <v>1</v>
      </c>
      <c r="D219" s="31"/>
      <c r="E219" s="31"/>
      <c r="F219" s="31"/>
      <c r="G219" s="18">
        <v>18.04</v>
      </c>
      <c r="H219" s="19">
        <v>20.6</v>
      </c>
      <c r="I219" s="19">
        <v>20.7</v>
      </c>
      <c r="J219" s="19">
        <v>23.885000000000002</v>
      </c>
      <c r="K219" s="19">
        <v>22.420999999999999</v>
      </c>
      <c r="L219" s="19"/>
      <c r="M219" s="19"/>
      <c r="N219" s="19"/>
      <c r="O219" s="13"/>
    </row>
    <row r="220" spans="1:15" ht="13.5" customHeight="1">
      <c r="A220" s="14" t="s">
        <v>206</v>
      </c>
      <c r="B220" s="73"/>
      <c r="C220" s="16"/>
      <c r="D220" s="31"/>
      <c r="E220" s="31"/>
      <c r="F220" s="31"/>
      <c r="G220" s="18"/>
      <c r="H220" s="19"/>
      <c r="I220" s="19"/>
      <c r="J220" s="19"/>
      <c r="K220" s="19"/>
      <c r="L220" s="19"/>
      <c r="M220" s="19"/>
      <c r="N220" s="19"/>
      <c r="O220" s="13"/>
    </row>
    <row r="221" spans="1:15" ht="29.25">
      <c r="A221" s="36" t="s">
        <v>207</v>
      </c>
      <c r="B221" s="73" t="s">
        <v>205</v>
      </c>
      <c r="C221" s="16">
        <v>1</v>
      </c>
      <c r="D221" s="31"/>
      <c r="E221" s="31"/>
      <c r="F221" s="31"/>
      <c r="G221" s="74" t="s">
        <v>40</v>
      </c>
      <c r="H221" s="19">
        <v>1.56</v>
      </c>
      <c r="I221" s="19">
        <f>1450.72/1000</f>
        <v>1.45072</v>
      </c>
      <c r="J221" s="19">
        <f>1475.72/1000</f>
        <v>1.4757199999999999</v>
      </c>
      <c r="K221" s="19"/>
      <c r="L221" s="19"/>
      <c r="M221" s="19"/>
      <c r="N221" s="19"/>
      <c r="O221" s="236"/>
    </row>
    <row r="222" spans="1:15" ht="27" customHeight="1">
      <c r="A222" s="36" t="s">
        <v>208</v>
      </c>
      <c r="B222" s="73" t="s">
        <v>205</v>
      </c>
      <c r="C222" s="16">
        <v>1</v>
      </c>
      <c r="D222" s="31"/>
      <c r="E222" s="31"/>
      <c r="F222" s="31"/>
      <c r="G222" s="74" t="s">
        <v>40</v>
      </c>
      <c r="H222" s="19" t="s">
        <v>40</v>
      </c>
      <c r="I222" s="19"/>
      <c r="J222" s="19"/>
      <c r="K222" s="19"/>
      <c r="L222" s="19"/>
      <c r="M222" s="19"/>
      <c r="N222" s="19"/>
      <c r="O222" s="236"/>
    </row>
    <row r="223" spans="1:15" ht="39" customHeight="1">
      <c r="A223" s="36" t="s">
        <v>209</v>
      </c>
      <c r="B223" s="73" t="s">
        <v>205</v>
      </c>
      <c r="C223" s="16">
        <v>1</v>
      </c>
      <c r="D223" s="31"/>
      <c r="E223" s="31"/>
      <c r="F223" s="31"/>
      <c r="G223" s="18">
        <v>18.04</v>
      </c>
      <c r="H223" s="19">
        <v>19.04</v>
      </c>
      <c r="I223" s="19">
        <v>20.7</v>
      </c>
      <c r="J223" s="19">
        <v>20.399999999999999</v>
      </c>
      <c r="K223" s="19">
        <v>22.420999999999999</v>
      </c>
      <c r="L223" s="19"/>
      <c r="M223" s="19"/>
      <c r="N223" s="19"/>
      <c r="O223" s="237"/>
    </row>
    <row r="224" spans="1:15" ht="12.75">
      <c r="A224" s="75" t="s">
        <v>137</v>
      </c>
      <c r="B224" s="20"/>
      <c r="C224" s="16"/>
      <c r="D224" s="31"/>
      <c r="E224" s="31"/>
      <c r="F224" s="31"/>
      <c r="G224" s="18"/>
      <c r="H224" s="19"/>
      <c r="I224" s="19"/>
      <c r="J224" s="19"/>
      <c r="K224" s="19"/>
      <c r="L224" s="19"/>
      <c r="M224" s="19"/>
      <c r="N224" s="19"/>
      <c r="O224" s="13"/>
    </row>
    <row r="225" spans="1:19" ht="35.25" customHeight="1">
      <c r="A225" s="36" t="s">
        <v>210</v>
      </c>
      <c r="B225" s="15" t="s">
        <v>211</v>
      </c>
      <c r="C225" s="16">
        <v>1</v>
      </c>
      <c r="D225" s="31"/>
      <c r="E225" s="31"/>
      <c r="F225" s="31"/>
      <c r="G225" s="18">
        <f>1154.44/G6</f>
        <v>18.30120481927711</v>
      </c>
      <c r="H225" s="19">
        <v>17.899999999999999</v>
      </c>
      <c r="I225" s="19">
        <v>18.899999999999999</v>
      </c>
      <c r="J225" s="19">
        <v>19</v>
      </c>
      <c r="K225" s="19">
        <v>19.3</v>
      </c>
      <c r="L225" s="19">
        <v>19.100000000000001</v>
      </c>
      <c r="M225" s="19">
        <v>19.100000000000001</v>
      </c>
      <c r="N225" s="19">
        <v>19.100000000000001</v>
      </c>
      <c r="O225" s="13"/>
    </row>
    <row r="226" spans="1:19" ht="35.25" customHeight="1">
      <c r="A226" s="36" t="s">
        <v>212</v>
      </c>
      <c r="B226" s="15" t="s">
        <v>213</v>
      </c>
      <c r="C226" s="16">
        <v>1</v>
      </c>
      <c r="D226" s="31"/>
      <c r="E226" s="31"/>
      <c r="F226" s="31"/>
      <c r="G226" s="55">
        <v>338642.9</v>
      </c>
      <c r="H226" s="66">
        <v>404912</v>
      </c>
      <c r="I226" s="66">
        <v>434215</v>
      </c>
      <c r="J226" s="66">
        <v>444173</v>
      </c>
      <c r="K226" s="84">
        <v>462822</v>
      </c>
      <c r="L226" s="84">
        <f>J226*1.03</f>
        <v>457498.19</v>
      </c>
      <c r="M226" s="84">
        <f>L226*1.04</f>
        <v>475798.1176</v>
      </c>
      <c r="N226" s="84">
        <f>M226*1.04</f>
        <v>494830.042304</v>
      </c>
      <c r="O226" s="232"/>
    </row>
    <row r="227" spans="1:19" ht="35.25" customHeight="1">
      <c r="A227" s="36" t="s">
        <v>214</v>
      </c>
      <c r="B227" s="15" t="s">
        <v>188</v>
      </c>
      <c r="C227" s="16">
        <v>1</v>
      </c>
      <c r="D227" s="31"/>
      <c r="E227" s="31"/>
      <c r="F227" s="31"/>
      <c r="G227" s="76">
        <v>76.3</v>
      </c>
      <c r="H227" s="19">
        <v>40.75</v>
      </c>
      <c r="I227" s="19">
        <v>47.1</v>
      </c>
      <c r="J227" s="19">
        <f>190178.6/444173.26*100</f>
        <v>42.816310013799566</v>
      </c>
      <c r="K227" s="19">
        <f>191997/462822*100</f>
        <v>41.483983043156982</v>
      </c>
      <c r="L227" s="19">
        <v>55.7</v>
      </c>
      <c r="M227" s="19">
        <v>55.8</v>
      </c>
      <c r="N227" s="19">
        <v>61</v>
      </c>
      <c r="O227" s="229"/>
    </row>
    <row r="228" spans="1:19" ht="35.25" customHeight="1">
      <c r="A228" s="14" t="s">
        <v>215</v>
      </c>
      <c r="B228" s="15" t="s">
        <v>216</v>
      </c>
      <c r="C228" s="16">
        <v>1</v>
      </c>
      <c r="D228" s="31"/>
      <c r="E228" s="31"/>
      <c r="F228" s="31"/>
      <c r="G228" s="18">
        <v>7.78</v>
      </c>
      <c r="H228" s="19">
        <v>8.27</v>
      </c>
      <c r="I228" s="19">
        <v>8.61</v>
      </c>
      <c r="J228" s="19">
        <v>8.99</v>
      </c>
      <c r="K228" s="19">
        <v>9.5990000000000002</v>
      </c>
      <c r="L228" s="19">
        <f>K228+0.3</f>
        <v>9.8990000000000009</v>
      </c>
      <c r="M228" s="19">
        <v>9.89</v>
      </c>
      <c r="N228" s="19">
        <v>10.19</v>
      </c>
      <c r="O228" s="13"/>
    </row>
    <row r="229" spans="1:19" ht="35.25" customHeight="1">
      <c r="A229" s="14" t="s">
        <v>215</v>
      </c>
      <c r="B229" s="15" t="s">
        <v>217</v>
      </c>
      <c r="C229" s="16">
        <v>1</v>
      </c>
      <c r="D229" s="31"/>
      <c r="E229" s="31"/>
      <c r="F229" s="31"/>
      <c r="G229" s="77">
        <f>G228/G6*1000</f>
        <v>123.33544705136336</v>
      </c>
      <c r="H229" s="19">
        <v>123.80239520958084</v>
      </c>
      <c r="I229" s="19">
        <v>126.431718061674</v>
      </c>
      <c r="J229" s="19">
        <f>8994/68400*1000</f>
        <v>131.49122807017542</v>
      </c>
      <c r="K229" s="32">
        <f>K228/K6*1000</f>
        <v>138.11510791366908</v>
      </c>
      <c r="L229" s="32">
        <f>L228/L6*1000</f>
        <v>139.61918194640339</v>
      </c>
      <c r="M229" s="32">
        <f>M228/M6*1000</f>
        <v>136.37617209045783</v>
      </c>
      <c r="N229" s="32">
        <f>N228/N6*1000</f>
        <v>138.03847195881872</v>
      </c>
      <c r="O229" s="13"/>
    </row>
    <row r="230" spans="1:19" ht="12.75">
      <c r="A230" s="78" t="s">
        <v>218</v>
      </c>
      <c r="B230" s="79" t="s">
        <v>213</v>
      </c>
      <c r="C230" s="80"/>
      <c r="D230" s="81"/>
      <c r="E230" s="82"/>
      <c r="F230" s="80"/>
      <c r="G230" s="83"/>
      <c r="H230" s="84">
        <v>640662</v>
      </c>
      <c r="I230" s="84">
        <v>673938.19</v>
      </c>
      <c r="J230" s="84">
        <v>775028</v>
      </c>
      <c r="K230" s="84">
        <v>888988.85400000005</v>
      </c>
      <c r="L230" s="84">
        <v>938753</v>
      </c>
      <c r="M230" s="84">
        <v>997984</v>
      </c>
      <c r="N230" s="84">
        <v>1062684</v>
      </c>
      <c r="O230" s="229"/>
      <c r="P230" s="37"/>
      <c r="Q230" s="37"/>
      <c r="R230" s="37"/>
      <c r="S230" s="37"/>
    </row>
    <row r="231" spans="1:19" ht="12.75">
      <c r="A231" s="14" t="s">
        <v>14</v>
      </c>
      <c r="B231" s="20" t="s">
        <v>15</v>
      </c>
      <c r="C231" s="80"/>
      <c r="D231" s="81"/>
      <c r="E231" s="82"/>
      <c r="F231" s="80"/>
      <c r="G231" s="83"/>
      <c r="H231" s="85">
        <v>96.331531236754259</v>
      </c>
      <c r="I231" s="85">
        <v>104.76239239490819</v>
      </c>
      <c r="J231" s="85">
        <f>J230/I230/J232*10000</f>
        <v>101.14323985183563</v>
      </c>
      <c r="K231" s="85">
        <f>K230/J230/K232*10000</f>
        <v>107.09999540415991</v>
      </c>
      <c r="L231" s="85">
        <f>L230/K230/L232*10000</f>
        <v>99.15289848644619</v>
      </c>
      <c r="M231" s="85">
        <f>M230/L230/M232*10000</f>
        <v>101.24718135451523</v>
      </c>
      <c r="N231" s="85">
        <f>N230/M230/N232*10000</f>
        <v>101.31595610737928</v>
      </c>
      <c r="O231" s="229"/>
    </row>
    <row r="232" spans="1:19" ht="12.75">
      <c r="A232" s="14" t="s">
        <v>16</v>
      </c>
      <c r="B232" s="20" t="s">
        <v>15</v>
      </c>
      <c r="C232" s="80"/>
      <c r="D232" s="81"/>
      <c r="E232" s="82"/>
      <c r="F232" s="80"/>
      <c r="G232" s="83"/>
      <c r="H232" s="85">
        <v>109.2</v>
      </c>
      <c r="I232" s="85">
        <v>106.6</v>
      </c>
      <c r="J232" s="85">
        <v>113.7</v>
      </c>
      <c r="K232" s="85">
        <v>107.1</v>
      </c>
      <c r="L232" s="85">
        <v>106.5</v>
      </c>
      <c r="M232" s="85">
        <v>105</v>
      </c>
      <c r="N232" s="85">
        <v>105.1</v>
      </c>
      <c r="O232" s="229"/>
    </row>
    <row r="233" spans="1:19" ht="18.75">
      <c r="A233" s="86"/>
      <c r="B233" s="87"/>
      <c r="C233" s="88"/>
      <c r="D233" s="89"/>
      <c r="E233" s="90"/>
      <c r="F233" s="88"/>
      <c r="K233" s="215"/>
      <c r="M233" s="83"/>
      <c r="N233" s="83"/>
    </row>
    <row r="234" spans="1:19" ht="28.5" customHeight="1">
      <c r="A234" s="360" t="s">
        <v>219</v>
      </c>
      <c r="B234" s="360"/>
      <c r="C234" s="360"/>
      <c r="D234" s="360"/>
      <c r="E234" s="360"/>
      <c r="F234" s="360"/>
      <c r="G234" s="360"/>
      <c r="H234" s="360"/>
      <c r="I234" s="360"/>
      <c r="J234" s="360"/>
      <c r="K234" s="360"/>
      <c r="L234" s="360"/>
      <c r="M234" s="360"/>
      <c r="N234" s="360"/>
      <c r="O234" s="360"/>
      <c r="P234" s="360"/>
    </row>
    <row r="235" spans="1:19" ht="16.5" customHeight="1">
      <c r="A235" s="92"/>
      <c r="B235" s="92"/>
      <c r="C235" s="92"/>
      <c r="D235" s="92"/>
      <c r="E235" s="92"/>
      <c r="F235" s="92"/>
      <c r="G235" s="92"/>
      <c r="H235" s="213"/>
      <c r="I235" s="213"/>
      <c r="J235" s="213"/>
      <c r="K235" s="213"/>
      <c r="L235" s="213"/>
      <c r="M235" s="213"/>
      <c r="N235" s="213"/>
    </row>
    <row r="236" spans="1:19" ht="16.5" customHeight="1">
      <c r="A236" s="92"/>
      <c r="B236" s="92"/>
      <c r="C236" s="92"/>
      <c r="D236" s="92"/>
      <c r="E236" s="92"/>
      <c r="F236" s="92"/>
      <c r="G236" s="92"/>
      <c r="H236" s="213"/>
      <c r="I236" s="213"/>
      <c r="J236" s="213"/>
      <c r="K236" s="213"/>
      <c r="L236" s="213"/>
      <c r="M236" s="213"/>
      <c r="N236" s="213"/>
    </row>
    <row r="237" spans="1:19" ht="16.5" customHeight="1">
      <c r="A237" s="92"/>
      <c r="B237" s="92"/>
      <c r="C237" s="92"/>
      <c r="D237" s="92"/>
      <c r="E237" s="92"/>
      <c r="F237" s="92"/>
      <c r="G237" s="92"/>
      <c r="H237" s="213"/>
      <c r="I237" s="213"/>
      <c r="J237" s="213"/>
      <c r="K237" s="213"/>
      <c r="L237" s="213"/>
      <c r="M237" s="213"/>
      <c r="N237" s="213"/>
    </row>
    <row r="238" spans="1:19" ht="56.25" customHeight="1">
      <c r="A238" s="92"/>
      <c r="B238" s="92"/>
      <c r="C238" s="92"/>
      <c r="D238" s="92"/>
      <c r="E238" s="92"/>
      <c r="F238" s="92"/>
      <c r="G238" s="92"/>
      <c r="H238" s="213"/>
      <c r="I238" s="213"/>
      <c r="J238" s="213"/>
      <c r="K238" s="213"/>
      <c r="L238" s="213"/>
      <c r="M238" s="213"/>
      <c r="N238" s="213"/>
    </row>
    <row r="239" spans="1:19" ht="56.25" customHeight="1">
      <c r="A239" s="92"/>
      <c r="B239" s="92"/>
      <c r="C239" s="92"/>
      <c r="D239" s="92"/>
      <c r="E239" s="92"/>
      <c r="F239" s="92"/>
      <c r="G239" s="92"/>
      <c r="H239" s="213"/>
      <c r="I239" s="213"/>
      <c r="J239" s="213"/>
      <c r="K239" s="213"/>
      <c r="L239" s="213"/>
      <c r="M239" s="213"/>
      <c r="N239" s="213"/>
    </row>
    <row r="240" spans="1:19" ht="56.25" customHeight="1">
      <c r="A240" s="92"/>
      <c r="B240" s="92"/>
      <c r="C240" s="92"/>
      <c r="D240" s="92"/>
      <c r="E240" s="92"/>
      <c r="F240" s="92"/>
      <c r="G240" s="92"/>
      <c r="H240" s="213"/>
      <c r="I240" s="213"/>
      <c r="J240" s="213"/>
      <c r="K240" s="213"/>
      <c r="L240" s="213"/>
      <c r="M240" s="213"/>
      <c r="N240" s="213"/>
    </row>
    <row r="241" spans="1:14" ht="56.25" customHeight="1">
      <c r="A241" s="92"/>
      <c r="B241" s="92"/>
      <c r="C241" s="92"/>
      <c r="D241" s="92"/>
      <c r="E241" s="92"/>
      <c r="F241" s="92"/>
      <c r="G241" s="92"/>
      <c r="H241" s="213"/>
      <c r="I241" s="213"/>
      <c r="J241" s="213"/>
      <c r="K241" s="213"/>
      <c r="L241" s="213"/>
      <c r="M241" s="213"/>
      <c r="N241" s="213"/>
    </row>
    <row r="242" spans="1:14" ht="56.25" customHeight="1">
      <c r="A242" s="92"/>
      <c r="B242" s="92"/>
      <c r="C242" s="92"/>
      <c r="D242" s="92"/>
      <c r="E242" s="92"/>
      <c r="F242" s="92"/>
      <c r="G242" s="92"/>
      <c r="H242" s="213"/>
      <c r="I242" s="213"/>
      <c r="J242" s="213"/>
      <c r="K242" s="213"/>
      <c r="L242" s="213"/>
      <c r="M242" s="213"/>
      <c r="N242" s="213"/>
    </row>
    <row r="243" spans="1:14" ht="18.75">
      <c r="A243" s="93"/>
      <c r="B243" s="87"/>
      <c r="C243" s="88"/>
      <c r="D243" s="89"/>
      <c r="E243" s="90"/>
      <c r="F243" s="88"/>
      <c r="G243" s="91"/>
      <c r="H243" s="83"/>
      <c r="I243" s="83"/>
      <c r="J243" s="83"/>
      <c r="K243" s="83"/>
      <c r="L243" s="83"/>
      <c r="M243" s="83"/>
      <c r="N243" s="83"/>
    </row>
    <row r="244" spans="1:14" ht="18.75">
      <c r="A244" s="93"/>
      <c r="B244" s="87"/>
      <c r="C244" s="88"/>
      <c r="D244" s="89"/>
      <c r="E244" s="90"/>
      <c r="F244" s="88"/>
      <c r="G244" s="91"/>
      <c r="H244" s="83"/>
      <c r="I244" s="83"/>
      <c r="J244" s="83"/>
      <c r="K244" s="83"/>
      <c r="L244" s="83"/>
      <c r="M244" s="83"/>
      <c r="N244" s="83"/>
    </row>
    <row r="245" spans="1:14" ht="18.75">
      <c r="A245" s="93"/>
      <c r="B245" s="87"/>
      <c r="C245" s="88"/>
      <c r="D245" s="89"/>
      <c r="E245" s="90"/>
      <c r="F245" s="88"/>
      <c r="G245" s="91"/>
      <c r="H245" s="83"/>
      <c r="I245" s="83"/>
      <c r="J245" s="83"/>
      <c r="K245" s="83"/>
      <c r="L245" s="83"/>
      <c r="M245" s="83"/>
      <c r="N245" s="83"/>
    </row>
    <row r="246" spans="1:14" ht="18.75">
      <c r="A246" s="93"/>
      <c r="B246" s="87"/>
      <c r="C246" s="88"/>
      <c r="D246" s="89"/>
      <c r="E246" s="90"/>
      <c r="F246" s="88"/>
      <c r="G246" s="91"/>
      <c r="H246" s="83"/>
      <c r="I246" s="83"/>
      <c r="J246" s="83"/>
      <c r="K246" s="83"/>
      <c r="L246" s="83"/>
      <c r="M246" s="83"/>
      <c r="N246" s="83"/>
    </row>
    <row r="247" spans="1:14" ht="18.75">
      <c r="A247" s="93"/>
      <c r="B247" s="87"/>
      <c r="C247" s="88"/>
      <c r="D247" s="89"/>
      <c r="E247" s="90"/>
      <c r="F247" s="88"/>
      <c r="G247" s="91"/>
      <c r="H247" s="83"/>
      <c r="I247" s="83"/>
      <c r="J247" s="83"/>
      <c r="K247" s="83"/>
      <c r="L247" s="83"/>
      <c r="M247" s="83"/>
      <c r="N247" s="83"/>
    </row>
    <row r="248" spans="1:14">
      <c r="A248" s="87"/>
      <c r="B248" s="87"/>
      <c r="C248" s="88"/>
      <c r="D248" s="89"/>
      <c r="E248" s="90"/>
      <c r="F248" s="88"/>
      <c r="G248" s="91"/>
      <c r="H248" s="83"/>
      <c r="I248" s="83"/>
      <c r="J248" s="83"/>
      <c r="K248" s="83"/>
      <c r="L248" s="83"/>
      <c r="M248" s="83"/>
      <c r="N248" s="83"/>
    </row>
    <row r="249" spans="1:14">
      <c r="A249" s="87"/>
      <c r="B249" s="87"/>
      <c r="C249" s="88"/>
      <c r="D249" s="89"/>
      <c r="E249" s="90"/>
      <c r="F249" s="88"/>
      <c r="G249" s="91"/>
      <c r="H249" s="83"/>
      <c r="I249" s="83"/>
      <c r="J249" s="83"/>
      <c r="K249" s="83"/>
      <c r="L249" s="83"/>
      <c r="M249" s="83"/>
      <c r="N249" s="83"/>
    </row>
    <row r="250" spans="1:14">
      <c r="A250" s="87"/>
      <c r="B250" s="87"/>
      <c r="C250" s="88"/>
      <c r="D250" s="89"/>
      <c r="E250" s="90"/>
      <c r="F250" s="88"/>
      <c r="G250" s="91"/>
      <c r="H250" s="83"/>
      <c r="I250" s="83"/>
      <c r="J250" s="83"/>
      <c r="K250" s="83"/>
      <c r="L250" s="83"/>
      <c r="M250" s="83"/>
      <c r="N250" s="83"/>
    </row>
    <row r="251" spans="1:14" ht="12.75">
      <c r="A251" s="87"/>
      <c r="B251" s="87"/>
      <c r="C251" s="88"/>
      <c r="D251" s="89"/>
      <c r="E251" s="90"/>
      <c r="F251" s="88"/>
      <c r="G251" s="94">
        <v>77.86</v>
      </c>
      <c r="H251" s="216">
        <v>80.400000000000006</v>
      </c>
      <c r="I251" s="214"/>
      <c r="J251" s="214">
        <f>80.4+1.35</f>
        <v>81.75</v>
      </c>
      <c r="K251" s="214"/>
      <c r="L251" s="214"/>
      <c r="M251" s="217">
        <f>J251+1.45</f>
        <v>83.2</v>
      </c>
      <c r="N251" s="217"/>
    </row>
    <row r="252" spans="1:14">
      <c r="A252" s="87"/>
      <c r="B252" s="87"/>
      <c r="C252" s="88"/>
      <c r="D252" s="89"/>
      <c r="E252" s="90"/>
      <c r="F252" s="88"/>
      <c r="G252" s="91"/>
      <c r="H252" s="83"/>
      <c r="I252" s="83"/>
      <c r="J252" s="83"/>
      <c r="K252" s="83"/>
      <c r="L252" s="83"/>
      <c r="M252" s="83"/>
      <c r="N252" s="83"/>
    </row>
    <row r="253" spans="1:14">
      <c r="A253" s="87"/>
      <c r="B253" s="87"/>
      <c r="C253" s="88"/>
      <c r="D253" s="89"/>
      <c r="E253" s="90"/>
      <c r="F253" s="88"/>
      <c r="G253" s="91"/>
      <c r="H253" s="83"/>
      <c r="I253" s="83"/>
      <c r="J253" s="83"/>
      <c r="K253" s="83"/>
      <c r="L253" s="83"/>
      <c r="M253" s="83"/>
      <c r="N253" s="83"/>
    </row>
    <row r="254" spans="1:14">
      <c r="A254" s="87"/>
      <c r="B254" s="87"/>
      <c r="C254" s="88"/>
      <c r="D254" s="89"/>
      <c r="E254" s="90"/>
      <c r="F254" s="88"/>
      <c r="G254" s="91"/>
      <c r="H254" s="83"/>
      <c r="I254" s="83"/>
      <c r="J254" s="83"/>
      <c r="K254" s="83"/>
      <c r="L254" s="83"/>
      <c r="M254" s="83"/>
      <c r="N254" s="83"/>
    </row>
    <row r="255" spans="1:14">
      <c r="A255" s="87"/>
      <c r="B255" s="87"/>
      <c r="C255" s="88"/>
      <c r="D255" s="89"/>
      <c r="E255" s="90"/>
      <c r="F255" s="88"/>
      <c r="G255" s="91"/>
      <c r="H255" s="83"/>
      <c r="I255" s="83"/>
      <c r="J255" s="83"/>
      <c r="K255" s="83"/>
      <c r="L255" s="83"/>
      <c r="M255" s="83"/>
      <c r="N255" s="83"/>
    </row>
    <row r="256" spans="1:14">
      <c r="A256" s="87"/>
      <c r="B256" s="87"/>
      <c r="C256" s="88"/>
      <c r="D256" s="89"/>
      <c r="E256" s="90"/>
      <c r="F256" s="88"/>
      <c r="G256" s="91"/>
      <c r="H256" s="83"/>
      <c r="I256" s="83"/>
      <c r="J256" s="83"/>
      <c r="K256" s="83"/>
      <c r="L256" s="83"/>
      <c r="M256" s="83"/>
      <c r="N256" s="83"/>
    </row>
    <row r="257" spans="1:14">
      <c r="A257" s="87"/>
      <c r="B257" s="87"/>
      <c r="C257" s="88"/>
      <c r="D257" s="89"/>
      <c r="E257" s="90"/>
      <c r="F257" s="88"/>
      <c r="G257" s="91"/>
      <c r="H257" s="83"/>
      <c r="I257" s="83"/>
      <c r="J257" s="83"/>
      <c r="K257" s="83"/>
      <c r="L257" s="83"/>
      <c r="M257" s="83"/>
      <c r="N257" s="83"/>
    </row>
    <row r="258" spans="1:14">
      <c r="A258" s="87"/>
      <c r="B258" s="87"/>
      <c r="C258" s="88"/>
      <c r="D258" s="89"/>
      <c r="E258" s="90"/>
      <c r="F258" s="88"/>
      <c r="G258" s="91"/>
      <c r="H258" s="83"/>
      <c r="I258" s="83"/>
      <c r="J258" s="83"/>
      <c r="K258" s="83"/>
      <c r="L258" s="83"/>
      <c r="M258" s="83"/>
      <c r="N258" s="83"/>
    </row>
    <row r="259" spans="1:14">
      <c r="A259" s="87"/>
      <c r="B259" s="87"/>
      <c r="C259" s="88"/>
      <c r="D259" s="89"/>
      <c r="E259" s="90"/>
      <c r="F259" s="88"/>
      <c r="G259" s="91"/>
      <c r="H259" s="83"/>
      <c r="I259" s="83"/>
      <c r="J259" s="83"/>
      <c r="K259" s="83"/>
      <c r="L259" s="83"/>
      <c r="M259" s="83"/>
      <c r="N259" s="83"/>
    </row>
    <row r="260" spans="1:14">
      <c r="A260" s="87"/>
      <c r="B260" s="87"/>
      <c r="C260" s="88"/>
      <c r="D260" s="89"/>
      <c r="E260" s="90"/>
      <c r="F260" s="88"/>
      <c r="G260" s="91"/>
      <c r="H260" s="83"/>
      <c r="I260" s="83"/>
      <c r="J260" s="83"/>
      <c r="K260" s="83"/>
      <c r="L260" s="83"/>
      <c r="M260" s="83"/>
      <c r="N260" s="83"/>
    </row>
    <row r="261" spans="1:14">
      <c r="A261" s="87"/>
      <c r="B261" s="87"/>
      <c r="C261" s="88"/>
      <c r="D261" s="89"/>
      <c r="E261" s="90"/>
      <c r="F261" s="88"/>
      <c r="G261" s="91"/>
      <c r="H261" s="83"/>
      <c r="I261" s="83"/>
      <c r="J261" s="83"/>
      <c r="K261" s="83"/>
      <c r="L261" s="83"/>
      <c r="M261" s="83"/>
      <c r="N261" s="83"/>
    </row>
    <row r="262" spans="1:14">
      <c r="A262" s="87"/>
      <c r="B262" s="87"/>
      <c r="C262" s="88"/>
      <c r="D262" s="89"/>
      <c r="E262" s="90"/>
      <c r="F262" s="88"/>
      <c r="G262" s="91"/>
      <c r="H262" s="83"/>
      <c r="I262" s="83"/>
      <c r="J262" s="83"/>
      <c r="K262" s="83"/>
      <c r="L262" s="83"/>
      <c r="M262" s="83"/>
      <c r="N262" s="83"/>
    </row>
    <row r="263" spans="1:14">
      <c r="A263" s="87"/>
      <c r="B263" s="87"/>
      <c r="C263" s="88"/>
      <c r="D263" s="89"/>
      <c r="E263" s="90"/>
      <c r="F263" s="88"/>
      <c r="G263" s="91"/>
      <c r="H263" s="83"/>
      <c r="I263" s="83"/>
      <c r="J263" s="83"/>
      <c r="K263" s="83"/>
      <c r="L263" s="83"/>
      <c r="M263" s="83"/>
      <c r="N263" s="83"/>
    </row>
    <row r="264" spans="1:14">
      <c r="A264" s="87"/>
      <c r="B264" s="87"/>
      <c r="C264" s="88"/>
      <c r="D264" s="89"/>
      <c r="E264" s="90"/>
      <c r="F264" s="88"/>
      <c r="G264" s="91"/>
      <c r="H264" s="83"/>
      <c r="I264" s="83"/>
      <c r="J264" s="83"/>
      <c r="K264" s="83"/>
      <c r="L264" s="83"/>
      <c r="M264" s="83"/>
      <c r="N264" s="83"/>
    </row>
    <row r="265" spans="1:14">
      <c r="A265" s="87"/>
      <c r="B265" s="87"/>
      <c r="C265" s="88"/>
      <c r="D265" s="89"/>
      <c r="E265" s="90"/>
      <c r="F265" s="88"/>
      <c r="G265" s="91"/>
      <c r="H265" s="83"/>
      <c r="I265" s="83"/>
      <c r="J265" s="83"/>
      <c r="K265" s="83"/>
      <c r="L265" s="83"/>
      <c r="M265" s="83"/>
      <c r="N265" s="83"/>
    </row>
    <row r="266" spans="1:14">
      <c r="A266" s="87"/>
      <c r="B266" s="87"/>
      <c r="C266" s="88"/>
      <c r="D266" s="89"/>
      <c r="E266" s="90"/>
      <c r="F266" s="88"/>
      <c r="G266" s="91"/>
      <c r="H266" s="83"/>
      <c r="I266" s="83"/>
      <c r="J266" s="83"/>
      <c r="K266" s="83"/>
      <c r="L266" s="83"/>
      <c r="M266" s="83"/>
      <c r="N266" s="83"/>
    </row>
    <row r="267" spans="1:14">
      <c r="A267" s="87"/>
      <c r="B267" s="87"/>
      <c r="C267" s="88"/>
      <c r="D267" s="89"/>
      <c r="E267" s="90"/>
      <c r="F267" s="88"/>
      <c r="G267" s="91"/>
      <c r="H267" s="83"/>
      <c r="I267" s="83"/>
      <c r="J267" s="83"/>
      <c r="K267" s="83"/>
      <c r="L267" s="83"/>
      <c r="M267" s="83"/>
      <c r="N267" s="83"/>
    </row>
    <row r="268" spans="1:14">
      <c r="A268" s="87"/>
      <c r="B268" s="87"/>
      <c r="C268" s="88"/>
      <c r="D268" s="89"/>
      <c r="E268" s="90"/>
      <c r="F268" s="88"/>
      <c r="G268" s="91"/>
      <c r="H268" s="83"/>
      <c r="I268" s="83"/>
      <c r="J268" s="83"/>
      <c r="K268" s="83"/>
      <c r="L268" s="83"/>
      <c r="M268" s="83"/>
      <c r="N268" s="83"/>
    </row>
    <row r="269" spans="1:14">
      <c r="A269" s="87"/>
      <c r="B269" s="87"/>
      <c r="C269" s="88"/>
      <c r="D269" s="89"/>
      <c r="E269" s="90"/>
      <c r="F269" s="88"/>
      <c r="G269" s="91"/>
      <c r="H269" s="83"/>
      <c r="I269" s="83"/>
      <c r="J269" s="83"/>
      <c r="K269" s="83"/>
      <c r="L269" s="83"/>
      <c r="M269" s="83"/>
      <c r="N269" s="83"/>
    </row>
    <row r="270" spans="1:14">
      <c r="A270" s="87"/>
      <c r="B270" s="87"/>
      <c r="C270" s="88"/>
      <c r="D270" s="89"/>
      <c r="E270" s="90"/>
      <c r="F270" s="88"/>
      <c r="G270" s="91"/>
      <c r="H270" s="83"/>
      <c r="I270" s="83"/>
      <c r="J270" s="83"/>
      <c r="K270" s="83"/>
      <c r="L270" s="83"/>
      <c r="M270" s="83"/>
      <c r="N270" s="83"/>
    </row>
    <row r="271" spans="1:14">
      <c r="A271" s="87"/>
      <c r="B271" s="87"/>
      <c r="C271" s="88"/>
      <c r="D271" s="89"/>
      <c r="E271" s="90"/>
      <c r="F271" s="88"/>
      <c r="G271" s="91"/>
      <c r="H271" s="83"/>
      <c r="I271" s="83"/>
      <c r="J271" s="83"/>
      <c r="K271" s="83"/>
      <c r="L271" s="83"/>
      <c r="M271" s="83"/>
      <c r="N271" s="83"/>
    </row>
    <row r="272" spans="1:14">
      <c r="A272" s="87"/>
      <c r="B272" s="87"/>
      <c r="C272" s="88"/>
      <c r="D272" s="89"/>
      <c r="E272" s="90"/>
      <c r="F272" s="88"/>
      <c r="G272" s="91"/>
      <c r="H272" s="83"/>
      <c r="I272" s="83"/>
      <c r="J272" s="83"/>
      <c r="K272" s="83"/>
      <c r="L272" s="83"/>
      <c r="M272" s="83"/>
      <c r="N272" s="83"/>
    </row>
    <row r="273" spans="1:14">
      <c r="A273" s="87"/>
      <c r="B273" s="87"/>
      <c r="C273" s="88"/>
      <c r="D273" s="89"/>
      <c r="E273" s="90"/>
      <c r="F273" s="88"/>
      <c r="G273" s="91"/>
      <c r="H273" s="83"/>
      <c r="I273" s="83"/>
      <c r="J273" s="83"/>
      <c r="K273" s="83"/>
      <c r="L273" s="83"/>
      <c r="M273" s="83"/>
      <c r="N273" s="83"/>
    </row>
    <row r="274" spans="1:14">
      <c r="A274" s="87"/>
      <c r="B274" s="87"/>
      <c r="C274" s="88"/>
      <c r="D274" s="89"/>
      <c r="E274" s="90"/>
      <c r="F274" s="88"/>
      <c r="G274" s="91"/>
      <c r="H274" s="83"/>
      <c r="I274" s="83"/>
      <c r="J274" s="83"/>
      <c r="K274" s="83"/>
      <c r="L274" s="83"/>
      <c r="M274" s="83"/>
      <c r="N274" s="83"/>
    </row>
    <row r="275" spans="1:14">
      <c r="A275" s="87"/>
      <c r="B275" s="87"/>
      <c r="C275" s="88"/>
      <c r="D275" s="89"/>
      <c r="E275" s="90"/>
      <c r="F275" s="88"/>
      <c r="G275" s="91"/>
      <c r="H275" s="83"/>
      <c r="I275" s="83"/>
      <c r="J275" s="83"/>
      <c r="K275" s="83"/>
      <c r="L275" s="83"/>
      <c r="M275" s="83"/>
      <c r="N275" s="83"/>
    </row>
    <row r="276" spans="1:14">
      <c r="A276" s="87"/>
      <c r="B276" s="87"/>
      <c r="C276" s="88"/>
      <c r="D276" s="89"/>
      <c r="E276" s="90"/>
      <c r="F276" s="88"/>
      <c r="G276" s="91"/>
      <c r="H276" s="83"/>
      <c r="I276" s="83"/>
      <c r="J276" s="83"/>
      <c r="K276" s="83"/>
      <c r="L276" s="83"/>
      <c r="M276" s="83"/>
      <c r="N276" s="83"/>
    </row>
    <row r="277" spans="1:14">
      <c r="A277" s="87"/>
      <c r="B277" s="87"/>
      <c r="C277" s="88"/>
      <c r="D277" s="89"/>
      <c r="E277" s="90"/>
      <c r="F277" s="88"/>
      <c r="G277" s="91"/>
      <c r="H277" s="83"/>
      <c r="I277" s="83"/>
      <c r="J277" s="83"/>
      <c r="K277" s="83"/>
      <c r="L277" s="83"/>
      <c r="M277" s="83"/>
      <c r="N277" s="83"/>
    </row>
    <row r="278" spans="1:14">
      <c r="A278" s="87"/>
      <c r="B278" s="87"/>
      <c r="C278" s="88"/>
      <c r="D278" s="89"/>
      <c r="E278" s="90"/>
      <c r="F278" s="88"/>
      <c r="G278" s="91"/>
      <c r="H278" s="83"/>
      <c r="I278" s="83"/>
      <c r="J278" s="83"/>
      <c r="K278" s="83"/>
      <c r="L278" s="83"/>
      <c r="M278" s="83"/>
      <c r="N278" s="83"/>
    </row>
    <row r="279" spans="1:14">
      <c r="A279" s="87"/>
      <c r="B279" s="87"/>
      <c r="C279" s="88"/>
      <c r="D279" s="89"/>
      <c r="E279" s="90"/>
      <c r="F279" s="88"/>
      <c r="G279" s="91"/>
      <c r="H279" s="83"/>
      <c r="I279" s="83"/>
      <c r="J279" s="83"/>
      <c r="K279" s="83"/>
      <c r="L279" s="83"/>
      <c r="M279" s="83"/>
      <c r="N279" s="83"/>
    </row>
    <row r="280" spans="1:14">
      <c r="A280" s="87"/>
      <c r="B280" s="87"/>
      <c r="C280" s="88"/>
      <c r="D280" s="89"/>
      <c r="E280" s="90"/>
      <c r="F280" s="88"/>
      <c r="G280" s="91"/>
      <c r="H280" s="83"/>
      <c r="I280" s="83"/>
      <c r="J280" s="83"/>
      <c r="K280" s="83"/>
      <c r="L280" s="83"/>
      <c r="M280" s="83"/>
      <c r="N280" s="83"/>
    </row>
    <row r="281" spans="1:14">
      <c r="A281" s="87"/>
      <c r="B281" s="87"/>
      <c r="C281" s="88"/>
      <c r="D281" s="89"/>
      <c r="E281" s="90"/>
      <c r="F281" s="88"/>
      <c r="G281" s="91"/>
      <c r="H281" s="83"/>
      <c r="I281" s="83"/>
      <c r="J281" s="83"/>
      <c r="K281" s="83"/>
      <c r="L281" s="83"/>
      <c r="M281" s="83"/>
      <c r="N281" s="83"/>
    </row>
    <row r="282" spans="1:14">
      <c r="A282" s="87"/>
      <c r="B282" s="87"/>
      <c r="C282" s="88"/>
      <c r="D282" s="89"/>
      <c r="E282" s="90"/>
      <c r="F282" s="88"/>
      <c r="G282" s="91"/>
      <c r="H282" s="83"/>
      <c r="I282" s="83"/>
      <c r="J282" s="83"/>
      <c r="K282" s="83"/>
      <c r="L282" s="83"/>
      <c r="M282" s="83"/>
      <c r="N282" s="83"/>
    </row>
    <row r="283" spans="1:14">
      <c r="A283" s="87"/>
      <c r="B283" s="87"/>
      <c r="C283" s="88"/>
      <c r="D283" s="89"/>
      <c r="E283" s="90"/>
      <c r="F283" s="88"/>
      <c r="G283" s="91"/>
      <c r="H283" s="83"/>
      <c r="I283" s="83"/>
      <c r="J283" s="83"/>
      <c r="K283" s="83"/>
      <c r="L283" s="83"/>
      <c r="M283" s="83"/>
      <c r="N283" s="83"/>
    </row>
    <row r="284" spans="1:14">
      <c r="A284" s="87"/>
      <c r="B284" s="87"/>
      <c r="C284" s="88"/>
      <c r="D284" s="89"/>
      <c r="E284" s="90"/>
      <c r="F284" s="88"/>
      <c r="G284" s="91"/>
      <c r="H284" s="83"/>
      <c r="I284" s="83"/>
      <c r="J284" s="83"/>
      <c r="K284" s="83"/>
      <c r="L284" s="83"/>
      <c r="M284" s="83"/>
      <c r="N284" s="83"/>
    </row>
    <row r="285" spans="1:14">
      <c r="A285" s="87"/>
      <c r="B285" s="87"/>
      <c r="C285" s="88"/>
      <c r="D285" s="89"/>
      <c r="E285" s="90"/>
      <c r="F285" s="88"/>
      <c r="G285" s="91"/>
      <c r="H285" s="83"/>
      <c r="I285" s="83"/>
      <c r="J285" s="83"/>
      <c r="K285" s="83"/>
      <c r="L285" s="83"/>
      <c r="M285" s="83"/>
      <c r="N285" s="83"/>
    </row>
    <row r="286" spans="1:14">
      <c r="A286" s="87"/>
      <c r="B286" s="87"/>
      <c r="C286" s="88"/>
      <c r="D286" s="89"/>
      <c r="E286" s="90"/>
      <c r="F286" s="88"/>
      <c r="G286" s="91"/>
      <c r="H286" s="83"/>
      <c r="I286" s="83"/>
      <c r="J286" s="83"/>
      <c r="K286" s="83"/>
      <c r="L286" s="83"/>
      <c r="M286" s="83"/>
      <c r="N286" s="83"/>
    </row>
    <row r="287" spans="1:14">
      <c r="A287" s="87"/>
      <c r="B287" s="87"/>
      <c r="C287" s="88"/>
      <c r="D287" s="89"/>
      <c r="E287" s="90"/>
      <c r="F287" s="88"/>
      <c r="G287" s="91"/>
      <c r="H287" s="83"/>
      <c r="I287" s="83"/>
      <c r="J287" s="83"/>
      <c r="K287" s="83"/>
      <c r="L287" s="83"/>
      <c r="M287" s="83"/>
      <c r="N287" s="83"/>
    </row>
  </sheetData>
  <mergeCells count="15">
    <mergeCell ref="M2:O2"/>
    <mergeCell ref="A234:P234"/>
    <mergeCell ref="A1:N1"/>
    <mergeCell ref="A2:A4"/>
    <mergeCell ref="B2:B4"/>
    <mergeCell ref="G3:G4"/>
    <mergeCell ref="H3:H4"/>
    <mergeCell ref="I3:I4"/>
    <mergeCell ref="J3:J4"/>
    <mergeCell ref="K3:K4"/>
    <mergeCell ref="O3:O4"/>
    <mergeCell ref="I2:K2"/>
    <mergeCell ref="L3:L4"/>
    <mergeCell ref="M3:M4"/>
    <mergeCell ref="N3:N4"/>
  </mergeCells>
  <conditionalFormatting sqref="G125:G126 A125:A126">
    <cfRule type="expression" dxfId="5" priority="6">
      <formula>#REF!&lt;#REF!</formula>
    </cfRule>
  </conditionalFormatting>
  <conditionalFormatting sqref="G146:G167">
    <cfRule type="expression" dxfId="4" priority="5">
      <formula>H$251&lt;&gt;SUM(H$252,H$256,H$261:H$266,H$271)</formula>
    </cfRule>
  </conditionalFormatting>
  <conditionalFormatting sqref="G151:G155">
    <cfRule type="expression" dxfId="3" priority="4">
      <formula>H$256&lt;&gt;SUM(H$257:H$260)</formula>
    </cfRule>
  </conditionalFormatting>
  <conditionalFormatting sqref="G161:G166">
    <cfRule type="expression" dxfId="2" priority="3">
      <formula>H$266&lt;&gt;SUM(H$267:H$270)</formula>
    </cfRule>
  </conditionalFormatting>
  <conditionalFormatting sqref="G121:G124">
    <cfRule type="expression" dxfId="1" priority="2">
      <formula>#REF!&lt;&gt;SUM(H$228:H$230)</formula>
    </cfRule>
  </conditionalFormatting>
  <conditionalFormatting sqref="G120">
    <cfRule type="expression" dxfId="0" priority="7">
      <formula>G$225&lt;&gt;SUM(G$226:G$227)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 Прогноз 2016-2019</vt:lpstr>
      <vt:lpstr> Прогноз абакар</vt:lpstr>
      <vt:lpstr>ФУ прогноз</vt:lpstr>
      <vt:lpstr> УСХ )</vt:lpstr>
      <vt:lpstr> Прогноз 2016-2019 (3)</vt:lpstr>
      <vt:lpstr>Анализ 9 мес 2016-2017</vt:lpstr>
      <vt:lpstr> Прогноз 2020</vt:lpstr>
      <vt:lpstr>2017 9 мес</vt:lpstr>
      <vt:lpstr> Прогноз 2018-2020 (2)</vt:lpstr>
      <vt:lpstr>'2017 9 мес'!Заголовки_для_печати</vt:lpstr>
      <vt:lpstr>'Анализ 9 мес 2016-2017'!Заголовки_для_печати</vt:lpstr>
      <vt:lpstr>' Прогноз 2016-2019'!Область_печати</vt:lpstr>
      <vt:lpstr>' Прогноз 2016-2019 (3)'!Область_печати</vt:lpstr>
      <vt:lpstr>' Прогноз 2018-2020 (2)'!Область_печати</vt:lpstr>
      <vt:lpstr>' Прогноз 2020'!Область_печати</vt:lpstr>
      <vt:lpstr>' Прогноз абакар'!Область_печати</vt:lpstr>
      <vt:lpstr>' УСХ )'!Область_печати</vt:lpstr>
      <vt:lpstr>'ФУ прогноз'!Область_печати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2018-06-28T13:54:13Z</dcterms:modified>
</cp:coreProperties>
</file>